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jcole/Documents/AIPL/Selection Index/2021/"/>
    </mc:Choice>
  </mc:AlternateContent>
  <xr:revisionPtr revIDLastSave="0" documentId="13_ncr:1_{FBF8D7B1-B316-5D49-B082-2C1E0C1D593A}" xr6:coauthVersionLast="47" xr6:coauthVersionMax="47" xr10:uidLastSave="{00000000-0000-0000-0000-000000000000}"/>
  <bookViews>
    <workbookView xWindow="28800" yWindow="500" windowWidth="38400" windowHeight="21100" tabRatio="500" xr2:uid="{00000000-000D-0000-FFFF-FFFF00000000}"/>
  </bookViews>
  <sheets>
    <sheet name="JBC 2021" sheetId="6" r:id="rId1"/>
    <sheet name="JDS 2021" sheetId="7" r:id="rId2"/>
    <sheet name="_xltb_storage_" sheetId="4" state="veryHidden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7" i="6" l="1"/>
  <c r="O67" i="6"/>
  <c r="N67" i="6"/>
  <c r="M67" i="6"/>
  <c r="L67" i="6"/>
  <c r="K67" i="6"/>
  <c r="J67" i="6"/>
  <c r="I67" i="6"/>
  <c r="H67" i="6"/>
  <c r="G67" i="6"/>
  <c r="F67" i="6"/>
  <c r="E67" i="6"/>
  <c r="Q67" i="6" s="1"/>
  <c r="D67" i="6"/>
  <c r="C67" i="6"/>
  <c r="B67" i="6"/>
  <c r="A67" i="6"/>
  <c r="Y31" i="6"/>
  <c r="C31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A66" i="6"/>
  <c r="Y30" i="6"/>
  <c r="C30" i="6"/>
  <c r="P65" i="6"/>
  <c r="O65" i="6"/>
  <c r="N65" i="6"/>
  <c r="L65" i="6"/>
  <c r="K65" i="6"/>
  <c r="J65" i="6"/>
  <c r="I65" i="6"/>
  <c r="H65" i="6"/>
  <c r="G65" i="6"/>
  <c r="F65" i="6"/>
  <c r="E65" i="6"/>
  <c r="P64" i="6"/>
  <c r="O64" i="6"/>
  <c r="N64" i="6"/>
  <c r="M64" i="6"/>
  <c r="L64" i="6"/>
  <c r="K64" i="6"/>
  <c r="J64" i="6"/>
  <c r="I64" i="6"/>
  <c r="H64" i="6"/>
  <c r="G64" i="6"/>
  <c r="F64" i="6"/>
  <c r="E64" i="6"/>
  <c r="D65" i="6"/>
  <c r="B65" i="6"/>
  <c r="A65" i="6"/>
  <c r="D64" i="6"/>
  <c r="B64" i="6"/>
  <c r="A64" i="6"/>
  <c r="T29" i="6"/>
  <c r="Y29" i="6" s="1"/>
  <c r="C29" i="6"/>
  <c r="C65" i="6" s="1"/>
  <c r="C28" i="6"/>
  <c r="C64" i="6" s="1"/>
  <c r="Y28" i="6"/>
  <c r="P63" i="6"/>
  <c r="O63" i="6"/>
  <c r="N63" i="6"/>
  <c r="M63" i="6"/>
  <c r="L63" i="6"/>
  <c r="K63" i="6"/>
  <c r="J63" i="6"/>
  <c r="I63" i="6"/>
  <c r="H63" i="6"/>
  <c r="G63" i="6"/>
  <c r="F63" i="6"/>
  <c r="E63" i="6"/>
  <c r="P62" i="6"/>
  <c r="O62" i="6"/>
  <c r="N62" i="6"/>
  <c r="M62" i="6"/>
  <c r="L62" i="6"/>
  <c r="K62" i="6"/>
  <c r="J62" i="6"/>
  <c r="I62" i="6"/>
  <c r="H62" i="6"/>
  <c r="G62" i="6"/>
  <c r="F62" i="6"/>
  <c r="E62" i="6"/>
  <c r="D63" i="6"/>
  <c r="A63" i="6"/>
  <c r="Y27" i="6"/>
  <c r="C27" i="6"/>
  <c r="C63" i="6" s="1"/>
  <c r="Y26" i="6"/>
  <c r="D62" i="6"/>
  <c r="B62" i="6"/>
  <c r="A62" i="6"/>
  <c r="C26" i="6"/>
  <c r="C62" i="6" s="1"/>
  <c r="P61" i="6"/>
  <c r="O61" i="6"/>
  <c r="N61" i="6"/>
  <c r="K61" i="6"/>
  <c r="J61" i="6"/>
  <c r="I61" i="6"/>
  <c r="G61" i="6"/>
  <c r="F61" i="6"/>
  <c r="E61" i="6"/>
  <c r="P60" i="6"/>
  <c r="O60" i="6"/>
  <c r="N60" i="6"/>
  <c r="M60" i="6"/>
  <c r="L60" i="6"/>
  <c r="K60" i="6"/>
  <c r="J60" i="6"/>
  <c r="I60" i="6"/>
  <c r="H60" i="6"/>
  <c r="G60" i="6"/>
  <c r="F60" i="6"/>
  <c r="E60" i="6"/>
  <c r="D61" i="6"/>
  <c r="B61" i="6"/>
  <c r="A61" i="6"/>
  <c r="C25" i="6"/>
  <c r="C61" i="6" s="1"/>
  <c r="O25" i="6"/>
  <c r="R25" i="6"/>
  <c r="L61" i="6" s="1"/>
  <c r="T25" i="6"/>
  <c r="M61" i="6" s="1"/>
  <c r="Y24" i="6"/>
  <c r="D60" i="6"/>
  <c r="B60" i="6"/>
  <c r="A60" i="6"/>
  <c r="C24" i="6"/>
  <c r="C60" i="6" s="1"/>
  <c r="Q66" i="6" l="1"/>
  <c r="M65" i="6"/>
  <c r="Q64" i="6"/>
  <c r="Q65" i="6"/>
  <c r="Q62" i="6"/>
  <c r="Q63" i="6"/>
  <c r="Y25" i="6"/>
  <c r="Q60" i="6"/>
  <c r="H61" i="6"/>
  <c r="Q61" i="6" s="1"/>
  <c r="D70" i="6"/>
  <c r="B70" i="6"/>
  <c r="A70" i="6"/>
  <c r="D69" i="6"/>
  <c r="B69" i="6"/>
  <c r="A69" i="6"/>
  <c r="D68" i="6"/>
  <c r="A68" i="6"/>
  <c r="D59" i="6"/>
  <c r="B59" i="6"/>
  <c r="A59" i="6"/>
  <c r="D58" i="6"/>
  <c r="B58" i="6"/>
  <c r="A58" i="6"/>
  <c r="D57" i="6"/>
  <c r="B57" i="6"/>
  <c r="A57" i="6"/>
  <c r="D56" i="6"/>
  <c r="B56" i="6"/>
  <c r="A56" i="6"/>
  <c r="D55" i="6"/>
  <c r="B55" i="6"/>
  <c r="A55" i="6"/>
  <c r="D54" i="6"/>
  <c r="B54" i="6"/>
  <c r="A54" i="6"/>
  <c r="D53" i="6"/>
  <c r="B53" i="6"/>
  <c r="A53" i="6"/>
  <c r="D52" i="6"/>
  <c r="B52" i="6"/>
  <c r="A52" i="6"/>
  <c r="D51" i="6"/>
  <c r="B51" i="6"/>
  <c r="A51" i="6"/>
  <c r="D50" i="6"/>
  <c r="B50" i="6"/>
  <c r="A50" i="6"/>
  <c r="D49" i="6"/>
  <c r="B49" i="6"/>
  <c r="A49" i="6"/>
  <c r="D48" i="6"/>
  <c r="B48" i="6"/>
  <c r="A48" i="6"/>
  <c r="D47" i="6"/>
  <c r="B47" i="6"/>
  <c r="A47" i="6"/>
  <c r="D46" i="6"/>
  <c r="B46" i="6"/>
  <c r="A46" i="6"/>
  <c r="D45" i="6"/>
  <c r="B45" i="6"/>
  <c r="A45" i="6"/>
  <c r="D44" i="6"/>
  <c r="B44" i="6"/>
  <c r="A44" i="6"/>
  <c r="D43" i="6"/>
  <c r="B43" i="6"/>
  <c r="A43" i="6"/>
  <c r="D42" i="6"/>
  <c r="B42" i="6"/>
  <c r="A42" i="6"/>
  <c r="P68" i="6"/>
  <c r="O68" i="6"/>
  <c r="N68" i="6"/>
  <c r="M68" i="6"/>
  <c r="L68" i="6"/>
  <c r="K68" i="6"/>
  <c r="J68" i="6"/>
  <c r="I68" i="6"/>
  <c r="H68" i="6"/>
  <c r="G68" i="6"/>
  <c r="F68" i="6"/>
  <c r="E68" i="6"/>
  <c r="C32" i="6"/>
  <c r="Y32" i="6"/>
  <c r="W23" i="6"/>
  <c r="P59" i="6" s="1"/>
  <c r="X22" i="6"/>
  <c r="O58" i="6" s="1"/>
  <c r="W22" i="6"/>
  <c r="P58" i="6" s="1"/>
  <c r="V22" i="6"/>
  <c r="N58" i="6" s="1"/>
  <c r="U22" i="6"/>
  <c r="J58" i="6" s="1"/>
  <c r="R22" i="6"/>
  <c r="L58" i="6" s="1"/>
  <c r="Q22" i="6"/>
  <c r="K58" i="6" s="1"/>
  <c r="P22" i="6"/>
  <c r="I58" i="6" s="1"/>
  <c r="O22" i="6"/>
  <c r="N22" i="6"/>
  <c r="L22" i="6"/>
  <c r="G58" i="6" s="1"/>
  <c r="K22" i="6"/>
  <c r="F58" i="6" s="1"/>
  <c r="E22" i="6"/>
  <c r="E58" i="6" s="1"/>
  <c r="W15" i="6"/>
  <c r="P51" i="6" s="1"/>
  <c r="H70" i="6"/>
  <c r="H69" i="6"/>
  <c r="H59" i="6"/>
  <c r="H57" i="6"/>
  <c r="H56" i="6"/>
  <c r="H55" i="6"/>
  <c r="H54" i="6"/>
  <c r="H53" i="6"/>
  <c r="H52" i="6"/>
  <c r="H51" i="6"/>
  <c r="H50" i="6"/>
  <c r="H49" i="6"/>
  <c r="H48" i="6"/>
  <c r="H47" i="6"/>
  <c r="H46" i="6"/>
  <c r="O9" i="6"/>
  <c r="H45" i="6" s="1"/>
  <c r="O8" i="6"/>
  <c r="H44" i="6" s="1"/>
  <c r="O7" i="6"/>
  <c r="H43" i="6" s="1"/>
  <c r="O6" i="6"/>
  <c r="H42" i="6" s="1"/>
  <c r="K10" i="6"/>
  <c r="Y10" i="6" s="1"/>
  <c r="P70" i="6"/>
  <c r="O70" i="6"/>
  <c r="N70" i="6"/>
  <c r="M70" i="6"/>
  <c r="L70" i="6"/>
  <c r="K70" i="6"/>
  <c r="J70" i="6"/>
  <c r="I70" i="6"/>
  <c r="G70" i="6"/>
  <c r="F70" i="6"/>
  <c r="P69" i="6"/>
  <c r="O69" i="6"/>
  <c r="N69" i="6"/>
  <c r="M69" i="6"/>
  <c r="L69" i="6"/>
  <c r="K69" i="6"/>
  <c r="J69" i="6"/>
  <c r="I69" i="6"/>
  <c r="G69" i="6"/>
  <c r="F69" i="6"/>
  <c r="O59" i="6"/>
  <c r="N59" i="6"/>
  <c r="M59" i="6"/>
  <c r="L59" i="6"/>
  <c r="K59" i="6"/>
  <c r="J59" i="6"/>
  <c r="I59" i="6"/>
  <c r="G59" i="6"/>
  <c r="F59" i="6"/>
  <c r="M58" i="6"/>
  <c r="P57" i="6"/>
  <c r="O57" i="6"/>
  <c r="N57" i="6"/>
  <c r="M57" i="6"/>
  <c r="L57" i="6"/>
  <c r="K57" i="6"/>
  <c r="J57" i="6"/>
  <c r="I57" i="6"/>
  <c r="G57" i="6"/>
  <c r="F57" i="6"/>
  <c r="P56" i="6"/>
  <c r="O56" i="6"/>
  <c r="N56" i="6"/>
  <c r="M56" i="6"/>
  <c r="L56" i="6"/>
  <c r="K56" i="6"/>
  <c r="J56" i="6"/>
  <c r="I56" i="6"/>
  <c r="G56" i="6"/>
  <c r="F56" i="6"/>
  <c r="P55" i="6"/>
  <c r="O55" i="6"/>
  <c r="N55" i="6"/>
  <c r="M55" i="6"/>
  <c r="L55" i="6"/>
  <c r="K55" i="6"/>
  <c r="J55" i="6"/>
  <c r="I55" i="6"/>
  <c r="G55" i="6"/>
  <c r="F55" i="6"/>
  <c r="P54" i="6"/>
  <c r="O54" i="6"/>
  <c r="N54" i="6"/>
  <c r="M54" i="6"/>
  <c r="L54" i="6"/>
  <c r="K54" i="6"/>
  <c r="J54" i="6"/>
  <c r="I54" i="6"/>
  <c r="G54" i="6"/>
  <c r="F54" i="6"/>
  <c r="P53" i="6"/>
  <c r="O53" i="6"/>
  <c r="N53" i="6"/>
  <c r="M53" i="6"/>
  <c r="L53" i="6"/>
  <c r="K53" i="6"/>
  <c r="J53" i="6"/>
  <c r="I53" i="6"/>
  <c r="G53" i="6"/>
  <c r="F53" i="6"/>
  <c r="P52" i="6"/>
  <c r="O52" i="6"/>
  <c r="N52" i="6"/>
  <c r="M52" i="6"/>
  <c r="L52" i="6"/>
  <c r="K52" i="6"/>
  <c r="J52" i="6"/>
  <c r="I52" i="6"/>
  <c r="G52" i="6"/>
  <c r="F52" i="6"/>
  <c r="O51" i="6"/>
  <c r="N51" i="6"/>
  <c r="M51" i="6"/>
  <c r="L51" i="6"/>
  <c r="K51" i="6"/>
  <c r="J51" i="6"/>
  <c r="I51" i="6"/>
  <c r="G51" i="6"/>
  <c r="F51" i="6"/>
  <c r="P50" i="6"/>
  <c r="O50" i="6"/>
  <c r="N50" i="6"/>
  <c r="M50" i="6"/>
  <c r="L50" i="6"/>
  <c r="K50" i="6"/>
  <c r="J50" i="6"/>
  <c r="I50" i="6"/>
  <c r="G50" i="6"/>
  <c r="F50" i="6"/>
  <c r="P49" i="6"/>
  <c r="O49" i="6"/>
  <c r="N49" i="6"/>
  <c r="M49" i="6"/>
  <c r="L49" i="6"/>
  <c r="K49" i="6"/>
  <c r="J49" i="6"/>
  <c r="I49" i="6"/>
  <c r="G49" i="6"/>
  <c r="F49" i="6"/>
  <c r="P48" i="6"/>
  <c r="O48" i="6"/>
  <c r="N48" i="6"/>
  <c r="M48" i="6"/>
  <c r="L48" i="6"/>
  <c r="K48" i="6"/>
  <c r="J48" i="6"/>
  <c r="I48" i="6"/>
  <c r="G48" i="6"/>
  <c r="F48" i="6"/>
  <c r="P47" i="6"/>
  <c r="O47" i="6"/>
  <c r="N47" i="6"/>
  <c r="M47" i="6"/>
  <c r="L47" i="6"/>
  <c r="K47" i="6"/>
  <c r="J47" i="6"/>
  <c r="I47" i="6"/>
  <c r="G47" i="6"/>
  <c r="F47" i="6"/>
  <c r="P46" i="6"/>
  <c r="O46" i="6"/>
  <c r="N46" i="6"/>
  <c r="M46" i="6"/>
  <c r="L46" i="6"/>
  <c r="K46" i="6"/>
  <c r="J46" i="6"/>
  <c r="I46" i="6"/>
  <c r="G46" i="6"/>
  <c r="P45" i="6"/>
  <c r="O45" i="6"/>
  <c r="N45" i="6"/>
  <c r="M45" i="6"/>
  <c r="L45" i="6"/>
  <c r="K45" i="6"/>
  <c r="J45" i="6"/>
  <c r="I45" i="6"/>
  <c r="P44" i="6"/>
  <c r="O44" i="6"/>
  <c r="N44" i="6"/>
  <c r="M44" i="6"/>
  <c r="L44" i="6"/>
  <c r="K44" i="6"/>
  <c r="J44" i="6"/>
  <c r="I44" i="6"/>
  <c r="P43" i="6"/>
  <c r="O43" i="6"/>
  <c r="N43" i="6"/>
  <c r="M43" i="6"/>
  <c r="L43" i="6"/>
  <c r="K43" i="6"/>
  <c r="J43" i="6"/>
  <c r="I43" i="6"/>
  <c r="L9" i="6"/>
  <c r="G45" i="6" s="1"/>
  <c r="L8" i="6"/>
  <c r="G44" i="6" s="1"/>
  <c r="L7" i="6"/>
  <c r="G43" i="6" s="1"/>
  <c r="L6" i="6"/>
  <c r="K9" i="6"/>
  <c r="F45" i="6" s="1"/>
  <c r="K8" i="6"/>
  <c r="K7" i="6"/>
  <c r="K6" i="6"/>
  <c r="F42" i="6" s="1"/>
  <c r="N42" i="6"/>
  <c r="P42" i="6"/>
  <c r="O42" i="6"/>
  <c r="M42" i="6"/>
  <c r="L42" i="6"/>
  <c r="K42" i="6"/>
  <c r="J42" i="6"/>
  <c r="I42" i="6"/>
  <c r="E70" i="6"/>
  <c r="E69" i="6"/>
  <c r="E59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Y34" i="6"/>
  <c r="C34" i="6"/>
  <c r="C70" i="6" s="1"/>
  <c r="Y33" i="6"/>
  <c r="C33" i="6"/>
  <c r="C69" i="6" s="1"/>
  <c r="C23" i="6"/>
  <c r="C59" i="6" s="1"/>
  <c r="C22" i="6"/>
  <c r="C58" i="6" s="1"/>
  <c r="Y21" i="6"/>
  <c r="C21" i="6"/>
  <c r="C57" i="6" s="1"/>
  <c r="Y20" i="6"/>
  <c r="C20" i="6"/>
  <c r="C56" i="6" s="1"/>
  <c r="Y19" i="6"/>
  <c r="C19" i="6"/>
  <c r="C55" i="6" s="1"/>
  <c r="Y18" i="6"/>
  <c r="C18" i="6"/>
  <c r="C54" i="6" s="1"/>
  <c r="Y17" i="6"/>
  <c r="C17" i="6"/>
  <c r="C53" i="6" s="1"/>
  <c r="Y16" i="6"/>
  <c r="C16" i="6"/>
  <c r="C52" i="6" s="1"/>
  <c r="C15" i="6"/>
  <c r="C51" i="6" s="1"/>
  <c r="Y14" i="6"/>
  <c r="C14" i="6"/>
  <c r="C50" i="6" s="1"/>
  <c r="Y13" i="6"/>
  <c r="C13" i="6"/>
  <c r="C49" i="6" s="1"/>
  <c r="Y12" i="6"/>
  <c r="C12" i="6"/>
  <c r="C48" i="6" s="1"/>
  <c r="Y11" i="6"/>
  <c r="C11" i="6"/>
  <c r="C47" i="6" s="1"/>
  <c r="C10" i="6"/>
  <c r="C46" i="6" s="1"/>
  <c r="C9" i="6"/>
  <c r="C45" i="6" s="1"/>
  <c r="C8" i="6"/>
  <c r="C44" i="6" s="1"/>
  <c r="C7" i="6"/>
  <c r="C43" i="6" s="1"/>
  <c r="C6" i="6"/>
  <c r="C42" i="6" s="1"/>
  <c r="C68" i="6" l="1"/>
  <c r="Y23" i="6"/>
  <c r="Q68" i="6"/>
  <c r="Y15" i="6"/>
  <c r="H58" i="6"/>
  <c r="Q58" i="6" s="1"/>
  <c r="F46" i="6"/>
  <c r="Q46" i="6" s="1"/>
  <c r="Y22" i="6"/>
  <c r="Y6" i="6"/>
  <c r="Q52" i="6"/>
  <c r="Q69" i="6"/>
  <c r="Y7" i="6"/>
  <c r="Y8" i="6"/>
  <c r="Y9" i="6"/>
  <c r="Q50" i="6"/>
  <c r="Q53" i="6"/>
  <c r="Q70" i="6"/>
  <c r="Q48" i="6"/>
  <c r="Q59" i="6"/>
  <c r="F43" i="6"/>
  <c r="Q43" i="6" s="1"/>
  <c r="G42" i="6"/>
  <c r="Q42" i="6" s="1"/>
  <c r="Q45" i="6"/>
  <c r="Q54" i="6"/>
  <c r="Q56" i="6"/>
  <c r="F44" i="6"/>
  <c r="Q44" i="6" s="1"/>
  <c r="Q51" i="6"/>
  <c r="Q49" i="6"/>
  <c r="Q55" i="6"/>
  <c r="Q57" i="6"/>
  <c r="Q47" i="6"/>
</calcChain>
</file>

<file path=xl/sharedStrings.xml><?xml version="1.0" encoding="utf-8"?>
<sst xmlns="http://schemas.openxmlformats.org/spreadsheetml/2006/main" count="142" uniqueCount="122">
  <si>
    <t>Country</t>
  </si>
  <si>
    <t>Index</t>
  </si>
  <si>
    <t>Last update</t>
  </si>
  <si>
    <t>Production Traits</t>
  </si>
  <si>
    <t>Health &amp; Reproduction</t>
  </si>
  <si>
    <t>Durability</t>
  </si>
  <si>
    <t>Milk yield</t>
  </si>
  <si>
    <t>Fat yield</t>
  </si>
  <si>
    <t>Protein yield</t>
  </si>
  <si>
    <t>Fat (%)</t>
  </si>
  <si>
    <t xml:space="preserve"> (%)</t>
  </si>
  <si>
    <t>Fertility</t>
  </si>
  <si>
    <t>Australia</t>
  </si>
  <si>
    <t>Switzerland</t>
  </si>
  <si>
    <t>ISEL</t>
  </si>
  <si>
    <t>Germany</t>
  </si>
  <si>
    <t>RZG</t>
  </si>
  <si>
    <t>NTM</t>
  </si>
  <si>
    <t>Great Britain</t>
  </si>
  <si>
    <t>£PLI</t>
  </si>
  <si>
    <t>Italy</t>
  </si>
  <si>
    <t>PFT</t>
  </si>
  <si>
    <t>Spain</t>
  </si>
  <si>
    <t>Ireland</t>
  </si>
  <si>
    <t>EBI</t>
  </si>
  <si>
    <t>Japan</t>
  </si>
  <si>
    <t>The Netherlands</t>
  </si>
  <si>
    <t>BW</t>
  </si>
  <si>
    <t>NM$</t>
  </si>
  <si>
    <t>United States</t>
  </si>
  <si>
    <t>TPI</t>
  </si>
  <si>
    <t>LPI</t>
  </si>
  <si>
    <t>Israel</t>
  </si>
  <si>
    <t>France</t>
  </si>
  <si>
    <t>ISU</t>
  </si>
  <si>
    <t>Total</t>
  </si>
  <si>
    <t>New Zealand</t>
  </si>
  <si>
    <t>Reference</t>
  </si>
  <si>
    <t>BPI</t>
  </si>
  <si>
    <t>HWI</t>
  </si>
  <si>
    <t>Production</t>
  </si>
  <si>
    <t>CM$</t>
  </si>
  <si>
    <t>FM$</t>
  </si>
  <si>
    <t>GM$</t>
  </si>
  <si>
    <t>Canada</t>
  </si>
  <si>
    <t>"Other traits" includes lactose, BCS, etc.</t>
  </si>
  <si>
    <t>Denmark, Finland, and Sweden</t>
  </si>
  <si>
    <t>Protein (%)</t>
  </si>
  <si>
    <t>SCS</t>
  </si>
  <si>
    <t>Udder health</t>
  </si>
  <si>
    <t>Calving traits</t>
  </si>
  <si>
    <t>Milking traits</t>
  </si>
  <si>
    <t>Feet &amp; legs</t>
  </si>
  <si>
    <t>Body size/weight</t>
  </si>
  <si>
    <t>Conformation (type)</t>
  </si>
  <si>
    <t>Direct health traits</t>
  </si>
  <si>
    <t>Feed efficiency/intake</t>
  </si>
  <si>
    <t>Other traits</t>
  </si>
  <si>
    <t>Workability/temperament</t>
  </si>
  <si>
    <t>XL Toolbox Settings</t>
  </si>
  <si>
    <t>export_preset</t>
  </si>
  <si>
    <t>export_path</t>
  </si>
  <si>
    <t>&lt;?xml version="1.0" encoding="utf-16"?&gt;_x000D_
&lt;Preset xmlns:xsi="http://www.w3.org/2001/XMLSchema-instance" xmlns:xsd="http://www.w3.org/2001/XMLSchema"&gt;_x000D_
  &lt;Name&gt;Tiff, 600 dpi, RGB, Transparent canvas&lt;/Name&gt;_x000D_
  &lt;Dpi&gt;600&lt;/Dpi&gt;_x000D_
  &lt;FileType&gt;Tiff&lt;/FileType&gt;_x000D_
  &lt;ColorSpace&gt;Rgb&lt;/ColorSpace&gt;_x000D_
  &lt;Transparency&gt;TransparentCanvas&lt;/Transparency&gt;_x000D_
  &lt;UseColorProfile&gt;false&lt;/UseColorProfile&gt;_x000D_
  &lt;ColorProfile&gt;dlxbazip&lt;/ColorProfile&gt;_x000D_
&lt;/Preset&gt;</t>
  </si>
  <si>
    <t>M:\jcole\Graphics\JDS_13335_Fig4_Color600.tif</t>
  </si>
  <si>
    <t>These values are the "raw" values from the sources cited on the right. Different countries group things differently; for example, the US includes yield traits individually, while Australia groups them into a "Production" category.</t>
  </si>
  <si>
    <t>The table below groups traits into a set of "standard" categories so that it's easier to compare individual indices to one another. The grouping is somewhat arbitrary, and different people might</t>
  </si>
  <si>
    <t>Calving Traits</t>
  </si>
  <si>
    <t>Udder Health</t>
  </si>
  <si>
    <t>Health Traits</t>
  </si>
  <si>
    <t>Locomotion/Mobility</t>
  </si>
  <si>
    <t>Feed Efficiency</t>
  </si>
  <si>
    <t>Workability/Temperament</t>
  </si>
  <si>
    <t>Longevity/Livability</t>
  </si>
  <si>
    <t>assign the categories differently. For example, I grouped body size/weight with feed intake because of the recent popularity of "Feed saved"-like traits.</t>
  </si>
  <si>
    <t>https://www.holsteinusa.com/genetic_evaluations/ss_tpi_formula.html</t>
  </si>
  <si>
    <t>https://www.ars.usda.gov/ARSUserFiles/80420530/Publications/ARR/nmcalc-2021_ARR-NM8.pdf</t>
  </si>
  <si>
    <t>Udder conformation</t>
  </si>
  <si>
    <t>???</t>
  </si>
  <si>
    <t>"Conformation (Type)" includes ONLY overall type, such as dairy form. "Udder conformation" is included in the "Udder Health" category. Similarly, feet/legs traits are grouped into</t>
  </si>
  <si>
    <t>"Locomotion/Mobility" and body size/weight traits are grouped into "Feed Efficiency".</t>
  </si>
  <si>
    <t>GICO</t>
  </si>
  <si>
    <t>Updated in 2019, I can't find the information as of 2021/10/04.</t>
  </si>
  <si>
    <t>https://www.dairynz.co.nz/animal/animal-evaluation/interpreting-the-info/all-about-bw/</t>
  </si>
  <si>
    <t>http://www.nlbc.go.jp/en/sec07.html</t>
  </si>
  <si>
    <t>Lifetime Merit</t>
  </si>
  <si>
    <t>https://www.intermizoo.com/news/new-pft-index</t>
  </si>
  <si>
    <t>PD20</t>
  </si>
  <si>
    <t>I'm not sure I've interpreted the weights correctly, information is very hard to find (http://www.sion-israel.com/english/articles.asp?catid=42)</t>
  </si>
  <si>
    <t>https://www.icbf.com/wp-content/uploads/2020/02/Understanding-EBI-PTA-BV-Spring-2020.pdf</t>
  </si>
  <si>
    <t>https://ahdb.org.uk/knowledge-library/profitable-lifetime-index-pli</t>
  </si>
  <si>
    <t>2020?</t>
  </si>
  <si>
    <t>https://www.masterrind.com/en/the-new-rzg/</t>
  </si>
  <si>
    <t>https://innovativebreeding.vikinggenetics.com/brochures/ntm/ntm-full-guide/?page=4</t>
  </si>
  <si>
    <t>https://lactanet.ca/en/lifetime-performance-index-lpi-formula/</t>
  </si>
  <si>
    <t>http://en.zar.at/dam/jcr:1f11183f-ebda-44ea-bd87-ab1f892796c1/Englisch-ZAR-Folder_K.pdf</t>
  </si>
  <si>
    <t>Austria</t>
  </si>
  <si>
    <t>https://datagene.com.au/sites/default/files/Upload%20Files/Technote%2026%20BPI%20HWI%20update%20Dec%202020%20%282%29.pdf</t>
  </si>
  <si>
    <t>Conformation/Type</t>
  </si>
  <si>
    <t>https://www.genesdiffusion.com/blog/officialisation-nouvel-isu-2021-n59</t>
  </si>
  <si>
    <t>Longevity/survivability</t>
  </si>
  <si>
    <t>Belgium</t>
  </si>
  <si>
    <t>V€G</t>
  </si>
  <si>
    <t>http://www.elinfo.be/docs/GESen2012.pdf</t>
  </si>
  <si>
    <t>Czech Republic</t>
  </si>
  <si>
    <t>SIH</t>
  </si>
  <si>
    <t>https://www.cmsch.cz/CMSCH.cz/media/lib_Plemdat/SIH.pdf?_x_tr_sl=auto&amp;_x_tr_tl=en&amp;_x_tr_hl=en-US&amp;_x_tr_pto=nui</t>
  </si>
  <si>
    <t>Hungary</t>
  </si>
  <si>
    <t>HGI</t>
  </si>
  <si>
    <t>Interbull service documentation (https://interbull.org/ib/geforms)</t>
  </si>
  <si>
    <t>Poland</t>
  </si>
  <si>
    <t>Republic of Korea</t>
  </si>
  <si>
    <t>KTPI</t>
  </si>
  <si>
    <t>Republic of South Africa</t>
  </si>
  <si>
    <t>HIS</t>
  </si>
  <si>
    <t>Slovak Republic</t>
  </si>
  <si>
    <t>SPI</t>
  </si>
  <si>
    <t>https://www-swissherdbook-ch.translate.goog/fileadmin/Domain1/PDF_Dokumente/03-Fuer-den-Betrieb/34-Zuchtwertpublikation/ISET.pdf?_x_tr_sl=cs&amp;_x_tr_tl=en&amp;_x_tr_hl=en-US&amp;_x_tr_pto=nui</t>
  </si>
  <si>
    <t>Uruguay</t>
  </si>
  <si>
    <t>IEP</t>
  </si>
  <si>
    <t>https://geneticalechera-com-uy.translate.goog/?n&amp;id=18&amp;_x_tr_sl=auto&amp;_x_tr_tl=en&amp;_x_tr_hl=en-US&amp;_x_tr_pto=nui</t>
  </si>
  <si>
    <t>https://www.crv4all-international.com/wp-content/uploads/2018/03/169-18-Art.-VT-index-run-APR_eng.pdf</t>
  </si>
  <si>
    <t>NVI Dairy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</si>
</sst>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color rgb="FF000000"/>
      <name val="Times New Roman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2" xfId="0" applyFill="1" applyBorder="1"/>
    <xf numFmtId="0" fontId="5" fillId="0" borderId="1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5"/>
    <xf numFmtId="49" fontId="2" fillId="0" borderId="0" xfId="5" applyNumberFormat="1"/>
    <xf numFmtId="0" fontId="0" fillId="0" borderId="0" xfId="0" applyFill="1"/>
    <xf numFmtId="49" fontId="2" fillId="0" borderId="0" xfId="5" applyNumberFormat="1" applyFill="1"/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26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65400"/>
      <color rgb="FF333300"/>
      <color rgb="FF700015"/>
      <color rgb="FF800000"/>
      <color rgb="FF743A00"/>
      <color rgb="FF663300"/>
      <color rgb="FFCE9D6C"/>
      <color rgb="FFCA4A10"/>
      <color rgb="FFD55A15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08545077685384"/>
          <c:y val="2.4249089704447509E-2"/>
          <c:w val="0.79864856315834665"/>
          <c:h val="0.8006077373863508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'JBC 2021'!$E$41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31750">
              <a:solidFill>
                <a:schemeClr val="tx1"/>
              </a:solidFill>
            </a:ln>
            <a:effectLst/>
          </c:spPr>
          <c:invertIfNegative val="0"/>
          <c:cat>
            <c:strRef>
              <c:f>'JBC 2021'!$C$42:$C$70</c:f>
              <c:strCache>
                <c:ptCount val="29"/>
                <c:pt idx="0">
                  <c:v>United States (NM$)</c:v>
                </c:pt>
                <c:pt idx="1">
                  <c:v>United States (CM$)</c:v>
                </c:pt>
                <c:pt idx="2">
                  <c:v>United States (FM$)</c:v>
                </c:pt>
                <c:pt idx="3">
                  <c:v>United States (GM$)</c:v>
                </c:pt>
                <c:pt idx="4">
                  <c:v>United States (TPI)</c:v>
                </c:pt>
                <c:pt idx="5">
                  <c:v>The Netherlands (NVI Dairy)</c:v>
                </c:pt>
                <c:pt idx="6">
                  <c:v>Switzerland (ISEL)</c:v>
                </c:pt>
                <c:pt idx="7">
                  <c:v>Spain (GICO)</c:v>
                </c:pt>
                <c:pt idx="8">
                  <c:v>New Zealand (BW)</c:v>
                </c:pt>
                <c:pt idx="9">
                  <c:v>Japan (Lifetime Merit)</c:v>
                </c:pt>
                <c:pt idx="10">
                  <c:v>Italy (PFT)</c:v>
                </c:pt>
                <c:pt idx="11">
                  <c:v>Israel (PD20)</c:v>
                </c:pt>
                <c:pt idx="12">
                  <c:v>Ireland (EBI)</c:v>
                </c:pt>
                <c:pt idx="13">
                  <c:v>Great Britain (£PLI)</c:v>
                </c:pt>
                <c:pt idx="14">
                  <c:v>Germany (RZG)</c:v>
                </c:pt>
                <c:pt idx="15">
                  <c:v>France (ISU)</c:v>
                </c:pt>
                <c:pt idx="16">
                  <c:v>Denmark, Finland, and Sweden (NTM)</c:v>
                </c:pt>
                <c:pt idx="17">
                  <c:v>Canada (LPI)</c:v>
                </c:pt>
                <c:pt idx="18">
                  <c:v>Belgium (V€G)</c:v>
                </c:pt>
                <c:pt idx="19">
                  <c:v>Czech Republic (SIH)</c:v>
                </c:pt>
                <c:pt idx="20">
                  <c:v>Hungary (HGI)</c:v>
                </c:pt>
                <c:pt idx="21">
                  <c:v>Poland</c:v>
                </c:pt>
                <c:pt idx="22">
                  <c:v>Republic of Korea (KTPI)</c:v>
                </c:pt>
                <c:pt idx="23">
                  <c:v>Republic of South Africa (HIS)</c:v>
                </c:pt>
                <c:pt idx="24">
                  <c:v>Slovak Republic (SPI)</c:v>
                </c:pt>
                <c:pt idx="25">
                  <c:v>Uruguay (IEP)</c:v>
                </c:pt>
                <c:pt idx="26">
                  <c:v>Austria</c:v>
                </c:pt>
                <c:pt idx="27">
                  <c:v>Australia (BPI)</c:v>
                </c:pt>
                <c:pt idx="28">
                  <c:v>Australia (HWI)</c:v>
                </c:pt>
              </c:strCache>
            </c:strRef>
          </c:cat>
          <c:val>
            <c:numRef>
              <c:f>'JBC 2021'!$E$42:$E$70</c:f>
              <c:numCache>
                <c:formatCode>General</c:formatCode>
                <c:ptCount val="29"/>
                <c:pt idx="0">
                  <c:v>48.5</c:v>
                </c:pt>
                <c:pt idx="1">
                  <c:v>50.3</c:v>
                </c:pt>
                <c:pt idx="2">
                  <c:v>50.2</c:v>
                </c:pt>
                <c:pt idx="3">
                  <c:v>46.8</c:v>
                </c:pt>
                <c:pt idx="4">
                  <c:v>38</c:v>
                </c:pt>
                <c:pt idx="5">
                  <c:v>29</c:v>
                </c:pt>
                <c:pt idx="6">
                  <c:v>40</c:v>
                </c:pt>
                <c:pt idx="7">
                  <c:v>51</c:v>
                </c:pt>
                <c:pt idx="8">
                  <c:v>54</c:v>
                </c:pt>
                <c:pt idx="9">
                  <c:v>17</c:v>
                </c:pt>
                <c:pt idx="10">
                  <c:v>47</c:v>
                </c:pt>
                <c:pt idx="11">
                  <c:v>29.82</c:v>
                </c:pt>
                <c:pt idx="12">
                  <c:v>33</c:v>
                </c:pt>
                <c:pt idx="13">
                  <c:v>34.4</c:v>
                </c:pt>
                <c:pt idx="14">
                  <c:v>36</c:v>
                </c:pt>
                <c:pt idx="15">
                  <c:v>35</c:v>
                </c:pt>
                <c:pt idx="16">
                  <c:v>32.299999999999997</c:v>
                </c:pt>
                <c:pt idx="17">
                  <c:v>40</c:v>
                </c:pt>
                <c:pt idx="18">
                  <c:v>48</c:v>
                </c:pt>
                <c:pt idx="19">
                  <c:v>49</c:v>
                </c:pt>
                <c:pt idx="20">
                  <c:v>45</c:v>
                </c:pt>
                <c:pt idx="21">
                  <c:v>40</c:v>
                </c:pt>
                <c:pt idx="22">
                  <c:v>50</c:v>
                </c:pt>
                <c:pt idx="23">
                  <c:v>38</c:v>
                </c:pt>
                <c:pt idx="24">
                  <c:v>100</c:v>
                </c:pt>
                <c:pt idx="25">
                  <c:v>65</c:v>
                </c:pt>
                <c:pt idx="26">
                  <c:v>45</c:v>
                </c:pt>
                <c:pt idx="27">
                  <c:v>44</c:v>
                </c:pt>
                <c:pt idx="2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1-594B-811C-48C3DD6E34BB}"/>
            </c:ext>
          </c:extLst>
        </c:ser>
        <c:ser>
          <c:idx val="6"/>
          <c:order val="1"/>
          <c:tx>
            <c:strRef>
              <c:f>'JBC 2021'!$F$41</c:f>
              <c:strCache>
                <c:ptCount val="1"/>
                <c:pt idx="0">
                  <c:v>Longevity/Livability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31750">
              <a:solidFill>
                <a:schemeClr val="tx1"/>
              </a:solidFill>
            </a:ln>
            <a:effectLst/>
          </c:spPr>
          <c:invertIfNegative val="0"/>
          <c:cat>
            <c:strRef>
              <c:f>'JBC 2021'!$C$42:$C$70</c:f>
              <c:strCache>
                <c:ptCount val="29"/>
                <c:pt idx="0">
                  <c:v>United States (NM$)</c:v>
                </c:pt>
                <c:pt idx="1">
                  <c:v>United States (CM$)</c:v>
                </c:pt>
                <c:pt idx="2">
                  <c:v>United States (FM$)</c:v>
                </c:pt>
                <c:pt idx="3">
                  <c:v>United States (GM$)</c:v>
                </c:pt>
                <c:pt idx="4">
                  <c:v>United States (TPI)</c:v>
                </c:pt>
                <c:pt idx="5">
                  <c:v>The Netherlands (NVI Dairy)</c:v>
                </c:pt>
                <c:pt idx="6">
                  <c:v>Switzerland (ISEL)</c:v>
                </c:pt>
                <c:pt idx="7">
                  <c:v>Spain (GICO)</c:v>
                </c:pt>
                <c:pt idx="8">
                  <c:v>New Zealand (BW)</c:v>
                </c:pt>
                <c:pt idx="9">
                  <c:v>Japan (Lifetime Merit)</c:v>
                </c:pt>
                <c:pt idx="10">
                  <c:v>Italy (PFT)</c:v>
                </c:pt>
                <c:pt idx="11">
                  <c:v>Israel (PD20)</c:v>
                </c:pt>
                <c:pt idx="12">
                  <c:v>Ireland (EBI)</c:v>
                </c:pt>
                <c:pt idx="13">
                  <c:v>Great Britain (£PLI)</c:v>
                </c:pt>
                <c:pt idx="14">
                  <c:v>Germany (RZG)</c:v>
                </c:pt>
                <c:pt idx="15">
                  <c:v>France (ISU)</c:v>
                </c:pt>
                <c:pt idx="16">
                  <c:v>Denmark, Finland, and Sweden (NTM)</c:v>
                </c:pt>
                <c:pt idx="17">
                  <c:v>Canada (LPI)</c:v>
                </c:pt>
                <c:pt idx="18">
                  <c:v>Belgium (V€G)</c:v>
                </c:pt>
                <c:pt idx="19">
                  <c:v>Czech Republic (SIH)</c:v>
                </c:pt>
                <c:pt idx="20">
                  <c:v>Hungary (HGI)</c:v>
                </c:pt>
                <c:pt idx="21">
                  <c:v>Poland</c:v>
                </c:pt>
                <c:pt idx="22">
                  <c:v>Republic of Korea (KTPI)</c:v>
                </c:pt>
                <c:pt idx="23">
                  <c:v>Republic of South Africa (HIS)</c:v>
                </c:pt>
                <c:pt idx="24">
                  <c:v>Slovak Republic (SPI)</c:v>
                </c:pt>
                <c:pt idx="25">
                  <c:v>Uruguay (IEP)</c:v>
                </c:pt>
                <c:pt idx="26">
                  <c:v>Austria</c:v>
                </c:pt>
                <c:pt idx="27">
                  <c:v>Australia (BPI)</c:v>
                </c:pt>
                <c:pt idx="28">
                  <c:v>Australia (HWI)</c:v>
                </c:pt>
              </c:strCache>
            </c:strRef>
          </c:cat>
          <c:val>
            <c:numRef>
              <c:f>'JBC 2021'!$F$42:$F$70</c:f>
              <c:numCache>
                <c:formatCode>General</c:formatCode>
                <c:ptCount val="29"/>
                <c:pt idx="0">
                  <c:v>20.8</c:v>
                </c:pt>
                <c:pt idx="1">
                  <c:v>19.8</c:v>
                </c:pt>
                <c:pt idx="2">
                  <c:v>20.5</c:v>
                </c:pt>
                <c:pt idx="3">
                  <c:v>10.6</c:v>
                </c:pt>
                <c:pt idx="4">
                  <c:v>8</c:v>
                </c:pt>
                <c:pt idx="5">
                  <c:v>12</c:v>
                </c:pt>
                <c:pt idx="6">
                  <c:v>4</c:v>
                </c:pt>
                <c:pt idx="7">
                  <c:v>10</c:v>
                </c:pt>
                <c:pt idx="8">
                  <c:v>9</c:v>
                </c:pt>
                <c:pt idx="9">
                  <c:v>26</c:v>
                </c:pt>
                <c:pt idx="10">
                  <c:v>5</c:v>
                </c:pt>
                <c:pt idx="11">
                  <c:v>0.6</c:v>
                </c:pt>
                <c:pt idx="12">
                  <c:v>0</c:v>
                </c:pt>
                <c:pt idx="13">
                  <c:v>15.1</c:v>
                </c:pt>
                <c:pt idx="14">
                  <c:v>18</c:v>
                </c:pt>
                <c:pt idx="15">
                  <c:v>5</c:v>
                </c:pt>
                <c:pt idx="16">
                  <c:v>6.8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51-594B-811C-48C3DD6E34BB}"/>
            </c:ext>
          </c:extLst>
        </c:ser>
        <c:ser>
          <c:idx val="1"/>
          <c:order val="2"/>
          <c:tx>
            <c:strRef>
              <c:f>'JBC 2021'!$G$41</c:f>
              <c:strCache>
                <c:ptCount val="1"/>
                <c:pt idx="0">
                  <c:v>Fertility</c:v>
                </c:pt>
              </c:strCache>
            </c:strRef>
          </c:tx>
          <c:spPr>
            <a:solidFill>
              <a:schemeClr val="accent5"/>
            </a:solidFill>
            <a:ln w="31750">
              <a:solidFill>
                <a:schemeClr val="tx1"/>
              </a:solidFill>
            </a:ln>
            <a:effectLst/>
          </c:spPr>
          <c:invertIfNegative val="0"/>
          <c:cat>
            <c:strRef>
              <c:f>'JBC 2021'!$C$42:$C$70</c:f>
              <c:strCache>
                <c:ptCount val="29"/>
                <c:pt idx="0">
                  <c:v>United States (NM$)</c:v>
                </c:pt>
                <c:pt idx="1">
                  <c:v>United States (CM$)</c:v>
                </c:pt>
                <c:pt idx="2">
                  <c:v>United States (FM$)</c:v>
                </c:pt>
                <c:pt idx="3">
                  <c:v>United States (GM$)</c:v>
                </c:pt>
                <c:pt idx="4">
                  <c:v>United States (TPI)</c:v>
                </c:pt>
                <c:pt idx="5">
                  <c:v>The Netherlands (NVI Dairy)</c:v>
                </c:pt>
                <c:pt idx="6">
                  <c:v>Switzerland (ISEL)</c:v>
                </c:pt>
                <c:pt idx="7">
                  <c:v>Spain (GICO)</c:v>
                </c:pt>
                <c:pt idx="8">
                  <c:v>New Zealand (BW)</c:v>
                </c:pt>
                <c:pt idx="9">
                  <c:v>Japan (Lifetime Merit)</c:v>
                </c:pt>
                <c:pt idx="10">
                  <c:v>Italy (PFT)</c:v>
                </c:pt>
                <c:pt idx="11">
                  <c:v>Israel (PD20)</c:v>
                </c:pt>
                <c:pt idx="12">
                  <c:v>Ireland (EBI)</c:v>
                </c:pt>
                <c:pt idx="13">
                  <c:v>Great Britain (£PLI)</c:v>
                </c:pt>
                <c:pt idx="14">
                  <c:v>Germany (RZG)</c:v>
                </c:pt>
                <c:pt idx="15">
                  <c:v>France (ISU)</c:v>
                </c:pt>
                <c:pt idx="16">
                  <c:v>Denmark, Finland, and Sweden (NTM)</c:v>
                </c:pt>
                <c:pt idx="17">
                  <c:v>Canada (LPI)</c:v>
                </c:pt>
                <c:pt idx="18">
                  <c:v>Belgium (V€G)</c:v>
                </c:pt>
                <c:pt idx="19">
                  <c:v>Czech Republic (SIH)</c:v>
                </c:pt>
                <c:pt idx="20">
                  <c:v>Hungary (HGI)</c:v>
                </c:pt>
                <c:pt idx="21">
                  <c:v>Poland</c:v>
                </c:pt>
                <c:pt idx="22">
                  <c:v>Republic of Korea (KTPI)</c:v>
                </c:pt>
                <c:pt idx="23">
                  <c:v>Republic of South Africa (HIS)</c:v>
                </c:pt>
                <c:pt idx="24">
                  <c:v>Slovak Republic (SPI)</c:v>
                </c:pt>
                <c:pt idx="25">
                  <c:v>Uruguay (IEP)</c:v>
                </c:pt>
                <c:pt idx="26">
                  <c:v>Austria</c:v>
                </c:pt>
                <c:pt idx="27">
                  <c:v>Australia (BPI)</c:v>
                </c:pt>
                <c:pt idx="28">
                  <c:v>Australia (HWI)</c:v>
                </c:pt>
              </c:strCache>
            </c:strRef>
          </c:cat>
          <c:val>
            <c:numRef>
              <c:f>'JBC 2021'!$G$42:$G$70</c:f>
              <c:numCache>
                <c:formatCode>General</c:formatCode>
                <c:ptCount val="29"/>
                <c:pt idx="0">
                  <c:v>6.7</c:v>
                </c:pt>
                <c:pt idx="1">
                  <c:v>6.3000000000000007</c:v>
                </c:pt>
                <c:pt idx="2">
                  <c:v>6.7</c:v>
                </c:pt>
                <c:pt idx="3">
                  <c:v>16.099999999999998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  <c:pt idx="7">
                  <c:v>8</c:v>
                </c:pt>
                <c:pt idx="8">
                  <c:v>13</c:v>
                </c:pt>
                <c:pt idx="9">
                  <c:v>0</c:v>
                </c:pt>
                <c:pt idx="10">
                  <c:v>20</c:v>
                </c:pt>
                <c:pt idx="11">
                  <c:v>26</c:v>
                </c:pt>
                <c:pt idx="12">
                  <c:v>33</c:v>
                </c:pt>
                <c:pt idx="13">
                  <c:v>15.3</c:v>
                </c:pt>
                <c:pt idx="14">
                  <c:v>7</c:v>
                </c:pt>
                <c:pt idx="15">
                  <c:v>25</c:v>
                </c:pt>
                <c:pt idx="16">
                  <c:v>12.9</c:v>
                </c:pt>
                <c:pt idx="17">
                  <c:v>13.4</c:v>
                </c:pt>
                <c:pt idx="18">
                  <c:v>7</c:v>
                </c:pt>
                <c:pt idx="19">
                  <c:v>15</c:v>
                </c:pt>
                <c:pt idx="20">
                  <c:v>0</c:v>
                </c:pt>
                <c:pt idx="21">
                  <c:v>15</c:v>
                </c:pt>
                <c:pt idx="22">
                  <c:v>0</c:v>
                </c:pt>
                <c:pt idx="23">
                  <c:v>13</c:v>
                </c:pt>
                <c:pt idx="24">
                  <c:v>0</c:v>
                </c:pt>
                <c:pt idx="25">
                  <c:v>7.4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A51-594B-811C-48C3DD6E34BB}"/>
            </c:ext>
          </c:extLst>
        </c:ser>
        <c:ser>
          <c:idx val="2"/>
          <c:order val="3"/>
          <c:tx>
            <c:strRef>
              <c:f>'JBC 2021'!$H$41</c:f>
              <c:strCache>
                <c:ptCount val="1"/>
                <c:pt idx="0">
                  <c:v>Udder Health</c:v>
                </c:pt>
              </c:strCache>
            </c:strRef>
          </c:tx>
          <c:spPr>
            <a:solidFill>
              <a:schemeClr val="accent4"/>
            </a:solidFill>
            <a:ln w="31750">
              <a:solidFill>
                <a:schemeClr val="tx1"/>
              </a:solidFill>
            </a:ln>
            <a:effectLst/>
          </c:spPr>
          <c:invertIfNegative val="0"/>
          <c:cat>
            <c:strRef>
              <c:f>'JBC 2021'!$C$42:$C$70</c:f>
              <c:strCache>
                <c:ptCount val="29"/>
                <c:pt idx="0">
                  <c:v>United States (NM$)</c:v>
                </c:pt>
                <c:pt idx="1">
                  <c:v>United States (CM$)</c:v>
                </c:pt>
                <c:pt idx="2">
                  <c:v>United States (FM$)</c:v>
                </c:pt>
                <c:pt idx="3">
                  <c:v>United States (GM$)</c:v>
                </c:pt>
                <c:pt idx="4">
                  <c:v>United States (TPI)</c:v>
                </c:pt>
                <c:pt idx="5">
                  <c:v>The Netherlands (NVI Dairy)</c:v>
                </c:pt>
                <c:pt idx="6">
                  <c:v>Switzerland (ISEL)</c:v>
                </c:pt>
                <c:pt idx="7">
                  <c:v>Spain (GICO)</c:v>
                </c:pt>
                <c:pt idx="8">
                  <c:v>New Zealand (BW)</c:v>
                </c:pt>
                <c:pt idx="9">
                  <c:v>Japan (Lifetime Merit)</c:v>
                </c:pt>
                <c:pt idx="10">
                  <c:v>Italy (PFT)</c:v>
                </c:pt>
                <c:pt idx="11">
                  <c:v>Israel (PD20)</c:v>
                </c:pt>
                <c:pt idx="12">
                  <c:v>Ireland (EBI)</c:v>
                </c:pt>
                <c:pt idx="13">
                  <c:v>Great Britain (£PLI)</c:v>
                </c:pt>
                <c:pt idx="14">
                  <c:v>Germany (RZG)</c:v>
                </c:pt>
                <c:pt idx="15">
                  <c:v>France (ISU)</c:v>
                </c:pt>
                <c:pt idx="16">
                  <c:v>Denmark, Finland, and Sweden (NTM)</c:v>
                </c:pt>
                <c:pt idx="17">
                  <c:v>Canada (LPI)</c:v>
                </c:pt>
                <c:pt idx="18">
                  <c:v>Belgium (V€G)</c:v>
                </c:pt>
                <c:pt idx="19">
                  <c:v>Czech Republic (SIH)</c:v>
                </c:pt>
                <c:pt idx="20">
                  <c:v>Hungary (HGI)</c:v>
                </c:pt>
                <c:pt idx="21">
                  <c:v>Poland</c:v>
                </c:pt>
                <c:pt idx="22">
                  <c:v>Republic of Korea (KTPI)</c:v>
                </c:pt>
                <c:pt idx="23">
                  <c:v>Republic of South Africa (HIS)</c:v>
                </c:pt>
                <c:pt idx="24">
                  <c:v>Slovak Republic (SPI)</c:v>
                </c:pt>
                <c:pt idx="25">
                  <c:v>Uruguay (IEP)</c:v>
                </c:pt>
                <c:pt idx="26">
                  <c:v>Austria</c:v>
                </c:pt>
                <c:pt idx="27">
                  <c:v>Australia (BPI)</c:v>
                </c:pt>
                <c:pt idx="28">
                  <c:v>Australia (HWI)</c:v>
                </c:pt>
              </c:strCache>
            </c:strRef>
          </c:cat>
          <c:val>
            <c:numRef>
              <c:f>'JBC 2021'!$H$42:$H$70</c:f>
              <c:numCache>
                <c:formatCode>General</c:formatCode>
                <c:ptCount val="29"/>
                <c:pt idx="0">
                  <c:v>6.1999999999999993</c:v>
                </c:pt>
                <c:pt idx="1">
                  <c:v>6.7</c:v>
                </c:pt>
                <c:pt idx="2">
                  <c:v>5</c:v>
                </c:pt>
                <c:pt idx="3">
                  <c:v>6.6</c:v>
                </c:pt>
                <c:pt idx="4">
                  <c:v>15</c:v>
                </c:pt>
                <c:pt idx="5">
                  <c:v>17</c:v>
                </c:pt>
                <c:pt idx="6">
                  <c:v>22</c:v>
                </c:pt>
                <c:pt idx="7">
                  <c:v>22</c:v>
                </c:pt>
                <c:pt idx="8">
                  <c:v>6</c:v>
                </c:pt>
                <c:pt idx="9">
                  <c:v>14</c:v>
                </c:pt>
                <c:pt idx="10">
                  <c:v>20</c:v>
                </c:pt>
                <c:pt idx="11">
                  <c:v>24</c:v>
                </c:pt>
                <c:pt idx="12">
                  <c:v>0</c:v>
                </c:pt>
                <c:pt idx="13">
                  <c:v>13.7</c:v>
                </c:pt>
                <c:pt idx="14">
                  <c:v>6.75</c:v>
                </c:pt>
                <c:pt idx="15">
                  <c:v>15</c:v>
                </c:pt>
                <c:pt idx="16">
                  <c:v>17.3</c:v>
                </c:pt>
                <c:pt idx="17">
                  <c:v>21.4</c:v>
                </c:pt>
                <c:pt idx="18">
                  <c:v>20.92</c:v>
                </c:pt>
                <c:pt idx="19">
                  <c:v>20</c:v>
                </c:pt>
                <c:pt idx="20">
                  <c:v>26</c:v>
                </c:pt>
                <c:pt idx="21">
                  <c:v>10</c:v>
                </c:pt>
                <c:pt idx="22">
                  <c:v>25</c:v>
                </c:pt>
                <c:pt idx="23">
                  <c:v>16</c:v>
                </c:pt>
                <c:pt idx="24">
                  <c:v>0</c:v>
                </c:pt>
                <c:pt idx="25">
                  <c:v>27.6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A51-594B-811C-48C3DD6E34BB}"/>
            </c:ext>
          </c:extLst>
        </c:ser>
        <c:ser>
          <c:idx val="3"/>
          <c:order val="4"/>
          <c:tx>
            <c:strRef>
              <c:f>'JBC 2021'!$I$41</c:f>
              <c:strCache>
                <c:ptCount val="1"/>
                <c:pt idx="0">
                  <c:v>Calving Traits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5"/>
              </a:bgClr>
            </a:patt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2021'!$I$42:$I$70</c:f>
              <c:numCache>
                <c:formatCode>General</c:formatCode>
                <c:ptCount val="29"/>
                <c:pt idx="0">
                  <c:v>2.9</c:v>
                </c:pt>
                <c:pt idx="1">
                  <c:v>2.7</c:v>
                </c:pt>
                <c:pt idx="2">
                  <c:v>2.8</c:v>
                </c:pt>
                <c:pt idx="3">
                  <c:v>2.6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10</c:v>
                </c:pt>
                <c:pt idx="13">
                  <c:v>1.6</c:v>
                </c:pt>
                <c:pt idx="14">
                  <c:v>3</c:v>
                </c:pt>
                <c:pt idx="15">
                  <c:v>0</c:v>
                </c:pt>
                <c:pt idx="16">
                  <c:v>10</c:v>
                </c:pt>
                <c:pt idx="17">
                  <c:v>0</c:v>
                </c:pt>
                <c:pt idx="18">
                  <c:v>7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A51-594B-811C-48C3DD6E34BB}"/>
            </c:ext>
          </c:extLst>
        </c:ser>
        <c:ser>
          <c:idx val="4"/>
          <c:order val="5"/>
          <c:tx>
            <c:strRef>
              <c:f>'JBC 2021'!$J$41</c:f>
              <c:strCache>
                <c:ptCount val="1"/>
                <c:pt idx="0">
                  <c:v>Health Traits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2021'!$J$42:$J$70</c:f>
              <c:numCache>
                <c:formatCode>General</c:formatCode>
                <c:ptCount val="2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1.4</c:v>
                </c:pt>
                <c:pt idx="4">
                  <c:v>2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18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35</c:v>
                </c:pt>
                <c:pt idx="28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A51-594B-811C-48C3DD6E34BB}"/>
            </c:ext>
          </c:extLst>
        </c:ser>
        <c:ser>
          <c:idx val="5"/>
          <c:order val="6"/>
          <c:tx>
            <c:strRef>
              <c:f>'JBC 2021'!$K$41</c:f>
              <c:strCache>
                <c:ptCount val="1"/>
                <c:pt idx="0">
                  <c:v>Milking traits</c:v>
                </c:pt>
              </c:strCache>
            </c:strRef>
          </c:tx>
          <c:spPr>
            <a:solidFill>
              <a:srgbClr val="FFFF00"/>
            </a:solid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2021'!$K$42:$K$70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A51-594B-811C-48C3DD6E34BB}"/>
            </c:ext>
          </c:extLst>
        </c:ser>
        <c:ser>
          <c:idx val="7"/>
          <c:order val="7"/>
          <c:tx>
            <c:strRef>
              <c:f>'JBC 2021'!$L$41</c:f>
              <c:strCache>
                <c:ptCount val="1"/>
                <c:pt idx="0">
                  <c:v>Locomotion/Mobility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2021'!$L$42:$L$70</c:f>
              <c:numCache>
                <c:formatCode>General</c:formatCode>
                <c:ptCount val="29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6</c:v>
                </c:pt>
                <c:pt idx="5">
                  <c:v>9</c:v>
                </c:pt>
                <c:pt idx="6">
                  <c:v>8</c:v>
                </c:pt>
                <c:pt idx="7">
                  <c:v>9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8.1</c:v>
                </c:pt>
                <c:pt idx="14">
                  <c:v>5.25</c:v>
                </c:pt>
                <c:pt idx="15">
                  <c:v>5</c:v>
                </c:pt>
                <c:pt idx="16">
                  <c:v>1.8</c:v>
                </c:pt>
                <c:pt idx="17">
                  <c:v>8.4</c:v>
                </c:pt>
                <c:pt idx="18">
                  <c:v>8.64</c:v>
                </c:pt>
                <c:pt idx="19">
                  <c:v>10</c:v>
                </c:pt>
                <c:pt idx="20">
                  <c:v>16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A51-594B-811C-48C3DD6E34BB}"/>
            </c:ext>
          </c:extLst>
        </c:ser>
        <c:ser>
          <c:idx val="8"/>
          <c:order val="8"/>
          <c:tx>
            <c:strRef>
              <c:f>'JBC 2021'!$M$41</c:f>
              <c:strCache>
                <c:ptCount val="1"/>
                <c:pt idx="0">
                  <c:v>Conformation/Type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4"/>
              </a:bgClr>
            </a:patt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2021'!$M$42:$M$70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</c:v>
                </c:pt>
                <c:pt idx="16">
                  <c:v>0</c:v>
                </c:pt>
                <c:pt idx="17">
                  <c:v>6</c:v>
                </c:pt>
                <c:pt idx="18">
                  <c:v>1.44</c:v>
                </c:pt>
                <c:pt idx="19">
                  <c:v>1</c:v>
                </c:pt>
                <c:pt idx="20">
                  <c:v>0</c:v>
                </c:pt>
                <c:pt idx="21">
                  <c:v>25</c:v>
                </c:pt>
                <c:pt idx="22">
                  <c:v>25</c:v>
                </c:pt>
                <c:pt idx="23">
                  <c:v>9</c:v>
                </c:pt>
                <c:pt idx="24">
                  <c:v>0</c:v>
                </c:pt>
                <c:pt idx="25">
                  <c:v>0</c:v>
                </c:pt>
                <c:pt idx="26">
                  <c:v>15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A51-594B-811C-48C3DD6E34BB}"/>
            </c:ext>
          </c:extLst>
        </c:ser>
        <c:ser>
          <c:idx val="9"/>
          <c:order val="9"/>
          <c:tx>
            <c:strRef>
              <c:f>'JBC 2021'!$N$41</c:f>
              <c:strCache>
                <c:ptCount val="1"/>
                <c:pt idx="0">
                  <c:v>Feed Efficiency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2021'!$N$42:$N$70</c:f>
              <c:numCache>
                <c:formatCode>General</c:formatCode>
                <c:ptCount val="29"/>
                <c:pt idx="0">
                  <c:v>13.2</c:v>
                </c:pt>
                <c:pt idx="1">
                  <c:v>12.5</c:v>
                </c:pt>
                <c:pt idx="2">
                  <c:v>13.100000000000001</c:v>
                </c:pt>
                <c:pt idx="3">
                  <c:v>15.100000000000001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11.8</c:v>
                </c:pt>
                <c:pt idx="14">
                  <c:v>3</c:v>
                </c:pt>
                <c:pt idx="15">
                  <c:v>0</c:v>
                </c:pt>
                <c:pt idx="16">
                  <c:v>2.9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A51-594B-811C-48C3DD6E34BB}"/>
            </c:ext>
          </c:extLst>
        </c:ser>
        <c:ser>
          <c:idx val="10"/>
          <c:order val="10"/>
          <c:tx>
            <c:strRef>
              <c:f>'JBC 2021'!$O$41</c:f>
              <c:strCache>
                <c:ptCount val="1"/>
                <c:pt idx="0">
                  <c:v>Workability/Temperament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2">
                  <a:lumMod val="90000"/>
                </a:schemeClr>
              </a:bgClr>
            </a:patt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2021'!$O$42:$O$70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A51-594B-811C-48C3DD6E34BB}"/>
            </c:ext>
          </c:extLst>
        </c:ser>
        <c:ser>
          <c:idx val="11"/>
          <c:order val="11"/>
          <c:tx>
            <c:strRef>
              <c:f>'JBC 2021'!$P$41</c:f>
              <c:strCache>
                <c:ptCount val="1"/>
                <c:pt idx="0">
                  <c:v>Other traits</c:v>
                </c:pt>
              </c:strCache>
            </c:strRef>
          </c:tx>
          <c:spPr>
            <a:solidFill>
              <a:schemeClr val="bg1"/>
            </a:solidFill>
            <a:ln w="31750">
              <a:solidFill>
                <a:schemeClr val="tx1"/>
              </a:solidFill>
            </a:ln>
            <a:effectLst/>
          </c:spPr>
          <c:invertIfNegative val="0"/>
          <c:val>
            <c:numRef>
              <c:f>'JBC 2021'!$P$42:$P$70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7</c:v>
                </c:pt>
                <c:pt idx="9">
                  <c:v>37</c:v>
                </c:pt>
                <c:pt idx="10">
                  <c:v>0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6.5</c:v>
                </c:pt>
                <c:pt idx="17">
                  <c:v>2.8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A51-594B-811C-48C3DD6E3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19066368"/>
        <c:axId val="219067904"/>
      </c:barChart>
      <c:catAx>
        <c:axId val="21906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50800" cap="sq" cmpd="sng" algn="ctr">
            <a:solidFill>
              <a:schemeClr val="tx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1" i="0" u="none" strike="noStrike" kern="1200" baseline="0">
                <a:solidFill>
                  <a:schemeClr val="tx1"/>
                </a:solidFill>
                <a:latin typeface="Arial Narrow" pitchFamily="34" charset="0"/>
                <a:ea typeface="+mn-ea"/>
                <a:cs typeface="+mn-cs"/>
              </a:defRPr>
            </a:pPr>
            <a:endParaRPr lang="en-US"/>
          </a:p>
        </c:txPr>
        <c:crossAx val="219067904"/>
        <c:crosses val="autoZero"/>
        <c:auto val="1"/>
        <c:lblAlgn val="ctr"/>
        <c:lblOffset val="0"/>
        <c:noMultiLvlLbl val="0"/>
      </c:catAx>
      <c:valAx>
        <c:axId val="219067904"/>
        <c:scaling>
          <c:orientation val="minMax"/>
        </c:scaling>
        <c:delete val="0"/>
        <c:axPos val="b"/>
        <c:majorGridlines>
          <c:spPr>
            <a:ln w="25400" cap="rnd" cmpd="sng" algn="ctr">
              <a:solidFill>
                <a:schemeClr val="tx1"/>
              </a:solidFill>
              <a:prstDash val="sysDot"/>
              <a:round/>
              <a:headEnd w="lg" len="sm"/>
              <a:tailEnd w="lg" len="med"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500" b="1" i="0" u="none" strike="noStrike" kern="1200" baseline="0">
                <a:solidFill>
                  <a:schemeClr val="tx1"/>
                </a:solidFill>
                <a:latin typeface="Arial Narrow" pitchFamily="34" charset="0"/>
                <a:ea typeface="+mn-ea"/>
                <a:cs typeface="+mn-cs"/>
              </a:defRPr>
            </a:pPr>
            <a:endParaRPr lang="en-US"/>
          </a:p>
        </c:txPr>
        <c:crossAx val="219066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690157774558448E-2"/>
          <c:y val="0.892680854033152"/>
          <c:w val="0.95202416589820771"/>
          <c:h val="5.767324887684221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500" b="1" i="0" u="none" strike="noStrike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410307</xdr:colOff>
      <xdr:row>1</xdr:row>
      <xdr:rowOff>78153</xdr:rowOff>
    </xdr:from>
    <xdr:to>
      <xdr:col>41</xdr:col>
      <xdr:colOff>387247</xdr:colOff>
      <xdr:row>79</xdr:row>
      <xdr:rowOff>97692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F73318-C538-3947-8C7E-68E084C356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rv4all-international.com/wp-content/uploads/2018/03/169-18-Art.-VT-index-run-APR_en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C591-7912-C248-B96E-1BA4564FDDDE}">
  <dimension ref="A1:AD73"/>
  <sheetViews>
    <sheetView tabSelected="1" zoomScale="172" zoomScaleNormal="120"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F11" sqref="F11"/>
    </sheetView>
  </sheetViews>
  <sheetFormatPr baseColWidth="10" defaultColWidth="11" defaultRowHeight="16" x14ac:dyDescent="0.2"/>
  <cols>
    <col min="3" max="3" width="15.83203125" customWidth="1"/>
    <col min="6" max="6" width="13.6640625" customWidth="1"/>
    <col min="12" max="12" width="13.6640625" customWidth="1"/>
    <col min="13" max="13" width="12.83203125" customWidth="1"/>
    <col min="15" max="15" width="16.33203125" customWidth="1"/>
  </cols>
  <sheetData>
    <row r="1" spans="1:30" x14ac:dyDescent="0.2">
      <c r="A1" t="s">
        <v>64</v>
      </c>
    </row>
    <row r="2" spans="1:30" ht="17" thickBot="1" x14ac:dyDescent="0.25"/>
    <row r="3" spans="1:30" ht="17" thickBot="1" x14ac:dyDescent="0.25">
      <c r="A3" s="1" t="s">
        <v>0</v>
      </c>
      <c r="B3" s="16" t="s">
        <v>1</v>
      </c>
      <c r="C3" s="16"/>
      <c r="D3" s="16" t="s">
        <v>2</v>
      </c>
      <c r="E3" s="16"/>
      <c r="F3" s="36" t="s">
        <v>3</v>
      </c>
      <c r="G3" s="36"/>
      <c r="H3" s="36"/>
      <c r="I3" s="36"/>
      <c r="J3" s="36"/>
      <c r="K3" s="36" t="s">
        <v>4</v>
      </c>
      <c r="L3" s="36"/>
      <c r="M3" s="36"/>
      <c r="N3" s="36"/>
      <c r="O3" s="36"/>
      <c r="P3" s="36"/>
      <c r="Q3" s="36" t="s">
        <v>5</v>
      </c>
      <c r="R3" s="36"/>
      <c r="S3" s="36"/>
      <c r="T3" s="36"/>
      <c r="U3" s="36"/>
      <c r="V3" s="36"/>
      <c r="W3" s="36"/>
      <c r="X3" s="36"/>
    </row>
    <row r="4" spans="1:30" ht="40" customHeight="1" x14ac:dyDescent="0.2">
      <c r="A4" s="31"/>
      <c r="B4" s="33"/>
      <c r="C4" s="14"/>
      <c r="D4" s="33"/>
      <c r="E4" s="33" t="s">
        <v>40</v>
      </c>
      <c r="F4" s="33" t="s">
        <v>6</v>
      </c>
      <c r="G4" s="33" t="s">
        <v>7</v>
      </c>
      <c r="H4" s="33" t="s">
        <v>8</v>
      </c>
      <c r="I4" s="33" t="s">
        <v>47</v>
      </c>
      <c r="J4" s="33" t="s">
        <v>9</v>
      </c>
      <c r="K4" s="27" t="s">
        <v>99</v>
      </c>
      <c r="L4" s="2" t="s">
        <v>11</v>
      </c>
      <c r="M4" s="33" t="s">
        <v>48</v>
      </c>
      <c r="N4" s="33" t="s">
        <v>49</v>
      </c>
      <c r="O4" s="35" t="s">
        <v>76</v>
      </c>
      <c r="P4" s="33" t="s">
        <v>50</v>
      </c>
      <c r="Q4" s="33" t="s">
        <v>51</v>
      </c>
      <c r="R4" s="33" t="s">
        <v>52</v>
      </c>
      <c r="S4" s="33" t="s">
        <v>53</v>
      </c>
      <c r="T4" s="33" t="s">
        <v>54</v>
      </c>
      <c r="U4" s="33" t="s">
        <v>55</v>
      </c>
      <c r="V4" s="33" t="s">
        <v>56</v>
      </c>
      <c r="W4" s="33" t="s">
        <v>57</v>
      </c>
      <c r="X4" s="33" t="s">
        <v>58</v>
      </c>
      <c r="Y4" s="33" t="s">
        <v>35</v>
      </c>
      <c r="Z4" s="33" t="s">
        <v>37</v>
      </c>
    </row>
    <row r="5" spans="1:30" ht="17" thickBot="1" x14ac:dyDescent="0.25">
      <c r="A5" s="32"/>
      <c r="B5" s="34"/>
      <c r="C5" s="15"/>
      <c r="D5" s="34"/>
      <c r="E5" s="34"/>
      <c r="F5" s="34"/>
      <c r="G5" s="34"/>
      <c r="H5" s="34"/>
      <c r="I5" s="34"/>
      <c r="J5" s="34"/>
      <c r="K5" s="15" t="s">
        <v>10</v>
      </c>
      <c r="L5" s="15" t="s">
        <v>10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0" ht="24" x14ac:dyDescent="0.2">
      <c r="A6" s="5" t="s">
        <v>29</v>
      </c>
      <c r="B6" s="6" t="s">
        <v>28</v>
      </c>
      <c r="C6" s="6" t="str">
        <f t="shared" ref="C6:C34" si="0">CONCATENATE(A6, " (", B6, ")")</f>
        <v>United States (NM$)</v>
      </c>
      <c r="D6" s="6">
        <v>2021</v>
      </c>
      <c r="E6" s="2">
        <v>0</v>
      </c>
      <c r="F6" s="2">
        <v>0.3</v>
      </c>
      <c r="G6" s="2">
        <v>28.6</v>
      </c>
      <c r="H6" s="2">
        <v>19.600000000000001</v>
      </c>
      <c r="I6" s="2">
        <v>0</v>
      </c>
      <c r="J6" s="2">
        <v>0</v>
      </c>
      <c r="K6" s="2">
        <f>15.9+4.4+0.5</f>
        <v>20.8</v>
      </c>
      <c r="L6" s="2">
        <f>4.1+0.4+1+1.2</f>
        <v>6.7</v>
      </c>
      <c r="M6" s="2">
        <v>2.8</v>
      </c>
      <c r="N6" s="2">
        <v>0</v>
      </c>
      <c r="O6" s="2">
        <f>3.4</f>
        <v>3.4</v>
      </c>
      <c r="P6" s="2">
        <v>2.9</v>
      </c>
      <c r="Q6" s="2">
        <v>0</v>
      </c>
      <c r="R6" s="2">
        <v>0.4</v>
      </c>
      <c r="S6" s="2">
        <v>9.4</v>
      </c>
      <c r="T6" s="2">
        <v>0</v>
      </c>
      <c r="U6" s="2">
        <v>1.2</v>
      </c>
      <c r="V6" s="2">
        <v>3.8</v>
      </c>
      <c r="W6" s="2">
        <v>0</v>
      </c>
      <c r="X6" s="2">
        <v>0</v>
      </c>
      <c r="Y6">
        <f t="shared" ref="Y6:Y21" si="1">SUM(E6:X6)</f>
        <v>99.90000000000002</v>
      </c>
      <c r="Z6" t="s">
        <v>75</v>
      </c>
    </row>
    <row r="7" spans="1:30" ht="24" x14ac:dyDescent="0.2">
      <c r="A7" s="5" t="s">
        <v>29</v>
      </c>
      <c r="B7" s="6" t="s">
        <v>41</v>
      </c>
      <c r="C7" s="6" t="str">
        <f t="shared" si="0"/>
        <v>United States (CM$)</v>
      </c>
      <c r="D7" s="6">
        <v>2021</v>
      </c>
      <c r="E7" s="2">
        <v>0</v>
      </c>
      <c r="F7" s="2">
        <v>2.2000000000000002</v>
      </c>
      <c r="G7" s="2">
        <v>27.2</v>
      </c>
      <c r="H7" s="2">
        <v>20.9</v>
      </c>
      <c r="I7" s="2">
        <v>0</v>
      </c>
      <c r="J7" s="2">
        <v>0</v>
      </c>
      <c r="K7" s="2">
        <f>15.1+4.2+0.5</f>
        <v>19.8</v>
      </c>
      <c r="L7" s="2">
        <f>3.9+0.4+0.9+1.1</f>
        <v>6.3000000000000007</v>
      </c>
      <c r="M7" s="2">
        <v>3.5</v>
      </c>
      <c r="N7" s="2">
        <v>0</v>
      </c>
      <c r="O7" s="2">
        <f>3.2</f>
        <v>3.2</v>
      </c>
      <c r="P7" s="2">
        <v>2.7</v>
      </c>
      <c r="Q7" s="2">
        <v>0</v>
      </c>
      <c r="R7" s="2">
        <v>0.4</v>
      </c>
      <c r="S7" s="2">
        <v>8.9</v>
      </c>
      <c r="T7" s="2">
        <v>0</v>
      </c>
      <c r="U7" s="2">
        <v>1.2</v>
      </c>
      <c r="V7" s="2">
        <v>3.6</v>
      </c>
      <c r="W7" s="2">
        <v>0</v>
      </c>
      <c r="X7" s="2">
        <v>0</v>
      </c>
      <c r="Y7">
        <f t="shared" si="1"/>
        <v>99.9</v>
      </c>
      <c r="Z7" t="s">
        <v>75</v>
      </c>
    </row>
    <row r="8" spans="1:30" ht="24" x14ac:dyDescent="0.2">
      <c r="A8" s="5" t="s">
        <v>29</v>
      </c>
      <c r="B8" s="6" t="s">
        <v>42</v>
      </c>
      <c r="C8" s="6" t="str">
        <f t="shared" si="0"/>
        <v>United States (FM$)</v>
      </c>
      <c r="D8" s="6">
        <v>2021</v>
      </c>
      <c r="E8" s="2">
        <v>0</v>
      </c>
      <c r="F8" s="2">
        <v>21.9</v>
      </c>
      <c r="G8" s="2">
        <v>28.3</v>
      </c>
      <c r="H8" s="2">
        <v>0</v>
      </c>
      <c r="I8" s="2">
        <v>0</v>
      </c>
      <c r="J8" s="2">
        <v>0</v>
      </c>
      <c r="K8" s="2">
        <f>15.7+4.3+0.5</f>
        <v>20.5</v>
      </c>
      <c r="L8" s="2">
        <f>4.1+0.4+1+1.2</f>
        <v>6.7</v>
      </c>
      <c r="M8" s="2">
        <v>1.6</v>
      </c>
      <c r="N8" s="2">
        <v>0</v>
      </c>
      <c r="O8" s="2">
        <f>3.4</f>
        <v>3.4</v>
      </c>
      <c r="P8" s="2">
        <v>2.8</v>
      </c>
      <c r="Q8" s="2">
        <v>0</v>
      </c>
      <c r="R8" s="2">
        <v>0.4</v>
      </c>
      <c r="S8" s="2">
        <v>9.3000000000000007</v>
      </c>
      <c r="T8" s="2">
        <v>0</v>
      </c>
      <c r="U8" s="2">
        <v>1.2</v>
      </c>
      <c r="V8" s="2">
        <v>3.8</v>
      </c>
      <c r="W8" s="2">
        <v>0</v>
      </c>
      <c r="X8" s="2">
        <v>0</v>
      </c>
      <c r="Y8">
        <f t="shared" si="1"/>
        <v>99.9</v>
      </c>
      <c r="Z8" t="s">
        <v>75</v>
      </c>
    </row>
    <row r="9" spans="1:30" ht="24" x14ac:dyDescent="0.2">
      <c r="A9" s="5" t="s">
        <v>29</v>
      </c>
      <c r="B9" s="6" t="s">
        <v>43</v>
      </c>
      <c r="C9" s="6" t="str">
        <f t="shared" si="0"/>
        <v>United States (GM$)</v>
      </c>
      <c r="D9" s="6">
        <v>2021</v>
      </c>
      <c r="E9" s="2">
        <v>0</v>
      </c>
      <c r="F9" s="2">
        <v>0.3</v>
      </c>
      <c r="G9" s="2">
        <v>27.6</v>
      </c>
      <c r="H9" s="2">
        <v>18.899999999999999</v>
      </c>
      <c r="I9" s="2">
        <v>0</v>
      </c>
      <c r="J9" s="2">
        <v>0</v>
      </c>
      <c r="K9" s="2">
        <f>6.9+3.3+0.4</f>
        <v>10.6</v>
      </c>
      <c r="L9" s="2">
        <f>11.7+0.7+2.8+0.9</f>
        <v>16.099999999999998</v>
      </c>
      <c r="M9" s="2">
        <v>2.8</v>
      </c>
      <c r="N9" s="2">
        <v>0</v>
      </c>
      <c r="O9" s="2">
        <f>3.8</f>
        <v>3.8</v>
      </c>
      <c r="P9" s="2">
        <v>2.6</v>
      </c>
      <c r="Q9" s="2">
        <v>0</v>
      </c>
      <c r="R9" s="2">
        <v>0.4</v>
      </c>
      <c r="S9" s="2">
        <v>10.9</v>
      </c>
      <c r="T9" s="2">
        <v>0</v>
      </c>
      <c r="U9" s="2">
        <v>1.4</v>
      </c>
      <c r="V9" s="2">
        <v>4.2</v>
      </c>
      <c r="W9" s="2">
        <v>0</v>
      </c>
      <c r="X9" s="2">
        <v>0</v>
      </c>
      <c r="Y9">
        <f t="shared" si="1"/>
        <v>99.600000000000009</v>
      </c>
      <c r="Z9" t="s">
        <v>75</v>
      </c>
    </row>
    <row r="10" spans="1:30" x14ac:dyDescent="0.2">
      <c r="A10" s="8" t="s">
        <v>29</v>
      </c>
      <c r="B10" s="10" t="s">
        <v>30</v>
      </c>
      <c r="C10" s="6" t="str">
        <f t="shared" si="0"/>
        <v>United States (TPI)</v>
      </c>
      <c r="D10" s="10">
        <v>2021</v>
      </c>
      <c r="E10" s="4">
        <v>0</v>
      </c>
      <c r="F10" s="4">
        <v>0</v>
      </c>
      <c r="G10" s="4">
        <v>19</v>
      </c>
      <c r="H10" s="4">
        <v>19</v>
      </c>
      <c r="I10" s="4">
        <v>0</v>
      </c>
      <c r="J10" s="4">
        <v>0</v>
      </c>
      <c r="K10" s="4">
        <f>5+3</f>
        <v>8</v>
      </c>
      <c r="L10" s="4">
        <v>13</v>
      </c>
      <c r="M10" s="4">
        <v>4</v>
      </c>
      <c r="N10" s="2">
        <v>0</v>
      </c>
      <c r="O10" s="2">
        <v>11</v>
      </c>
      <c r="P10" s="2">
        <v>2</v>
      </c>
      <c r="Q10" s="4">
        <v>0</v>
      </c>
      <c r="R10" s="2">
        <v>6</v>
      </c>
      <c r="S10" s="2">
        <v>0</v>
      </c>
      <c r="T10" s="4">
        <v>8</v>
      </c>
      <c r="U10" s="4">
        <v>2</v>
      </c>
      <c r="V10" s="4">
        <v>8</v>
      </c>
      <c r="W10" s="4">
        <v>0</v>
      </c>
      <c r="X10" s="4">
        <v>0</v>
      </c>
      <c r="Y10">
        <f t="shared" si="1"/>
        <v>100</v>
      </c>
      <c r="Z10" t="s">
        <v>74</v>
      </c>
    </row>
    <row r="11" spans="1:30" ht="24" x14ac:dyDescent="0.2">
      <c r="A11" s="5" t="s">
        <v>26</v>
      </c>
      <c r="B11" s="22" t="s">
        <v>121</v>
      </c>
      <c r="C11" s="6" t="str">
        <f t="shared" si="0"/>
        <v>The Netherlands (NVI Dairy)</v>
      </c>
      <c r="D11" s="22">
        <v>2018</v>
      </c>
      <c r="E11" s="2">
        <v>29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12</v>
      </c>
      <c r="L11" s="2">
        <v>16</v>
      </c>
      <c r="M11" s="2">
        <v>0</v>
      </c>
      <c r="N11" s="2">
        <v>12</v>
      </c>
      <c r="O11" s="2">
        <v>5</v>
      </c>
      <c r="P11" s="2">
        <v>5</v>
      </c>
      <c r="Q11" s="2">
        <v>0</v>
      </c>
      <c r="R11" s="2">
        <v>9</v>
      </c>
      <c r="S11" s="2">
        <v>0</v>
      </c>
      <c r="T11" s="2">
        <v>0</v>
      </c>
      <c r="U11" s="2">
        <v>7</v>
      </c>
      <c r="V11" s="2">
        <v>5</v>
      </c>
      <c r="W11" s="2">
        <v>0</v>
      </c>
      <c r="X11" s="2">
        <v>0</v>
      </c>
      <c r="Y11">
        <f t="shared" si="1"/>
        <v>100</v>
      </c>
      <c r="Z11" s="37" t="s">
        <v>120</v>
      </c>
    </row>
    <row r="12" spans="1:30" x14ac:dyDescent="0.2">
      <c r="A12" s="5" t="s">
        <v>13</v>
      </c>
      <c r="B12" s="6" t="s">
        <v>14</v>
      </c>
      <c r="C12" s="6" t="str">
        <f t="shared" si="0"/>
        <v>Switzerland (ISEL)</v>
      </c>
      <c r="D12" s="25">
        <v>2021</v>
      </c>
      <c r="E12" s="2">
        <v>0</v>
      </c>
      <c r="F12" s="2">
        <v>0</v>
      </c>
      <c r="G12" s="2">
        <v>12</v>
      </c>
      <c r="H12" s="2">
        <v>24</v>
      </c>
      <c r="I12" s="2">
        <v>4</v>
      </c>
      <c r="J12" s="2">
        <v>0</v>
      </c>
      <c r="K12" s="2">
        <v>4</v>
      </c>
      <c r="L12" s="2">
        <v>18</v>
      </c>
      <c r="M12" s="2">
        <v>10</v>
      </c>
      <c r="N12" s="2">
        <v>0</v>
      </c>
      <c r="O12" s="2">
        <v>12</v>
      </c>
      <c r="P12" s="2">
        <v>0</v>
      </c>
      <c r="Q12" s="2">
        <v>0</v>
      </c>
      <c r="R12" s="2">
        <v>8</v>
      </c>
      <c r="S12" s="2">
        <v>0</v>
      </c>
      <c r="T12" s="2">
        <v>0</v>
      </c>
      <c r="U12" s="2">
        <v>0</v>
      </c>
      <c r="V12" s="2">
        <v>4</v>
      </c>
      <c r="W12" s="2">
        <v>4</v>
      </c>
      <c r="X12" s="2">
        <v>0</v>
      </c>
      <c r="Y12">
        <f t="shared" si="1"/>
        <v>100</v>
      </c>
      <c r="Z12" s="39" t="s">
        <v>116</v>
      </c>
      <c r="AA12" s="39"/>
      <c r="AB12" s="39"/>
      <c r="AC12" s="39"/>
      <c r="AD12" s="39"/>
    </row>
    <row r="13" spans="1:30" x14ac:dyDescent="0.2">
      <c r="A13" s="24" t="s">
        <v>22</v>
      </c>
      <c r="B13" s="26" t="s">
        <v>80</v>
      </c>
      <c r="C13" s="25" t="str">
        <f t="shared" si="0"/>
        <v>Spain (GICO)</v>
      </c>
      <c r="D13" s="25">
        <v>2015</v>
      </c>
      <c r="E13" s="2">
        <v>0</v>
      </c>
      <c r="F13" s="2">
        <v>23</v>
      </c>
      <c r="G13" s="2">
        <v>4</v>
      </c>
      <c r="H13" s="2">
        <v>24</v>
      </c>
      <c r="I13" s="2">
        <v>0</v>
      </c>
      <c r="J13" s="2">
        <v>0</v>
      </c>
      <c r="K13" s="2">
        <v>10</v>
      </c>
      <c r="L13" s="2">
        <v>8</v>
      </c>
      <c r="M13" s="2">
        <v>8</v>
      </c>
      <c r="N13" s="2">
        <v>14</v>
      </c>
      <c r="O13" s="2">
        <v>0</v>
      </c>
      <c r="P13" s="2">
        <v>0</v>
      </c>
      <c r="Q13" s="2">
        <v>0</v>
      </c>
      <c r="R13" s="2">
        <v>9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>
        <f t="shared" si="1"/>
        <v>100</v>
      </c>
      <c r="Z13" t="s">
        <v>81</v>
      </c>
    </row>
    <row r="14" spans="1:30" ht="24" x14ac:dyDescent="0.2">
      <c r="A14" s="5" t="s">
        <v>36</v>
      </c>
      <c r="B14" s="6" t="s">
        <v>27</v>
      </c>
      <c r="C14" s="6" t="str">
        <f t="shared" si="0"/>
        <v>New Zealand (BW)</v>
      </c>
      <c r="D14" s="6">
        <v>2016</v>
      </c>
      <c r="E14" s="2">
        <v>0</v>
      </c>
      <c r="F14" s="2">
        <v>13</v>
      </c>
      <c r="G14" s="2">
        <v>24</v>
      </c>
      <c r="H14" s="2">
        <v>17</v>
      </c>
      <c r="I14" s="2">
        <v>0</v>
      </c>
      <c r="J14" s="2">
        <v>0</v>
      </c>
      <c r="K14" s="2">
        <v>9</v>
      </c>
      <c r="L14" s="2">
        <v>13</v>
      </c>
      <c r="M14" s="2">
        <v>6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11</v>
      </c>
      <c r="T14" s="2">
        <v>0</v>
      </c>
      <c r="U14" s="2">
        <v>0</v>
      </c>
      <c r="V14" s="2">
        <v>0</v>
      </c>
      <c r="W14" s="2">
        <v>7</v>
      </c>
      <c r="X14" s="2">
        <v>0</v>
      </c>
      <c r="Y14">
        <f t="shared" si="1"/>
        <v>100</v>
      </c>
      <c r="Z14" t="s">
        <v>82</v>
      </c>
    </row>
    <row r="15" spans="1:30" ht="24" x14ac:dyDescent="0.2">
      <c r="A15" s="5" t="s">
        <v>25</v>
      </c>
      <c r="B15" s="22" t="s">
        <v>84</v>
      </c>
      <c r="C15" s="6" t="str">
        <f t="shared" si="0"/>
        <v>Japan (Lifetime Merit)</v>
      </c>
      <c r="D15" s="6">
        <v>2011</v>
      </c>
      <c r="E15" s="2">
        <v>0</v>
      </c>
      <c r="F15" s="2">
        <v>0</v>
      </c>
      <c r="G15" s="2">
        <v>11</v>
      </c>
      <c r="H15" s="2">
        <v>0</v>
      </c>
      <c r="I15" s="2">
        <v>0</v>
      </c>
      <c r="J15" s="2">
        <v>6</v>
      </c>
      <c r="K15" s="2">
        <v>26</v>
      </c>
      <c r="L15" s="2">
        <v>0</v>
      </c>
      <c r="M15" s="2">
        <v>6</v>
      </c>
      <c r="N15" s="2">
        <v>0</v>
      </c>
      <c r="O15" s="2">
        <v>8</v>
      </c>
      <c r="P15" s="2">
        <v>0</v>
      </c>
      <c r="Q15" s="2">
        <v>0</v>
      </c>
      <c r="R15" s="2">
        <v>4</v>
      </c>
      <c r="S15" s="2">
        <v>0</v>
      </c>
      <c r="T15" s="2">
        <v>2</v>
      </c>
      <c r="U15" s="2">
        <v>0</v>
      </c>
      <c r="V15" s="2">
        <v>0</v>
      </c>
      <c r="W15" s="2">
        <f>23+14</f>
        <v>37</v>
      </c>
      <c r="X15" s="2">
        <v>0</v>
      </c>
      <c r="Y15">
        <f t="shared" si="1"/>
        <v>100</v>
      </c>
      <c r="Z15" t="s">
        <v>83</v>
      </c>
    </row>
    <row r="16" spans="1:30" x14ac:dyDescent="0.2">
      <c r="A16" s="5" t="s">
        <v>20</v>
      </c>
      <c r="B16" s="6" t="s">
        <v>21</v>
      </c>
      <c r="C16" s="6" t="str">
        <f t="shared" si="0"/>
        <v>Italy (PFT)</v>
      </c>
      <c r="D16" s="6">
        <v>2019</v>
      </c>
      <c r="E16" s="2">
        <v>0</v>
      </c>
      <c r="F16" s="2">
        <v>0</v>
      </c>
      <c r="G16" s="2">
        <v>8</v>
      </c>
      <c r="H16" s="2">
        <v>33</v>
      </c>
      <c r="I16" s="2">
        <v>3</v>
      </c>
      <c r="J16" s="2">
        <v>3</v>
      </c>
      <c r="K16" s="2">
        <v>5</v>
      </c>
      <c r="L16" s="2">
        <v>20</v>
      </c>
      <c r="M16" s="2">
        <v>5</v>
      </c>
      <c r="N16" s="2">
        <v>6</v>
      </c>
      <c r="O16" s="2">
        <v>9</v>
      </c>
      <c r="P16" s="2">
        <v>0</v>
      </c>
      <c r="Q16" s="2">
        <v>0</v>
      </c>
      <c r="R16" s="2">
        <v>4</v>
      </c>
      <c r="S16" s="2">
        <v>0</v>
      </c>
      <c r="T16" s="2">
        <v>4</v>
      </c>
      <c r="U16" s="2">
        <v>0</v>
      </c>
      <c r="V16" s="2">
        <v>0</v>
      </c>
      <c r="W16" s="2">
        <v>0</v>
      </c>
      <c r="X16" s="2">
        <v>0</v>
      </c>
      <c r="Y16">
        <f t="shared" si="1"/>
        <v>100</v>
      </c>
      <c r="Z16" t="s">
        <v>85</v>
      </c>
    </row>
    <row r="17" spans="1:26" x14ac:dyDescent="0.2">
      <c r="A17" s="24" t="s">
        <v>32</v>
      </c>
      <c r="B17" s="26" t="s">
        <v>86</v>
      </c>
      <c r="C17" s="25" t="str">
        <f t="shared" si="0"/>
        <v>Israel (PD20)</v>
      </c>
      <c r="D17" s="25">
        <v>2011</v>
      </c>
      <c r="E17" s="2">
        <v>0</v>
      </c>
      <c r="F17" s="2">
        <v>0</v>
      </c>
      <c r="G17" s="2">
        <v>9.94</v>
      </c>
      <c r="H17" s="2">
        <v>19.88</v>
      </c>
      <c r="I17" s="2">
        <v>0</v>
      </c>
      <c r="J17" s="2">
        <v>0</v>
      </c>
      <c r="K17" s="2">
        <v>0.6</v>
      </c>
      <c r="L17" s="2">
        <v>26</v>
      </c>
      <c r="M17" s="2">
        <v>24</v>
      </c>
      <c r="N17" s="2">
        <v>0</v>
      </c>
      <c r="O17" s="2">
        <v>0</v>
      </c>
      <c r="P17" s="2">
        <v>9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10</v>
      </c>
      <c r="X17" s="2">
        <v>0</v>
      </c>
      <c r="Y17">
        <f t="shared" si="1"/>
        <v>99.42</v>
      </c>
      <c r="Z17" t="s">
        <v>87</v>
      </c>
    </row>
    <row r="18" spans="1:26" x14ac:dyDescent="0.2">
      <c r="A18" s="5" t="s">
        <v>23</v>
      </c>
      <c r="B18" s="6" t="s">
        <v>24</v>
      </c>
      <c r="C18" s="6" t="str">
        <f t="shared" si="0"/>
        <v>Ireland (EBI)</v>
      </c>
      <c r="D18" s="6">
        <v>2017</v>
      </c>
      <c r="E18" s="2">
        <v>33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33</v>
      </c>
      <c r="M18" s="2">
        <v>0</v>
      </c>
      <c r="N18" s="2">
        <v>0</v>
      </c>
      <c r="O18" s="2">
        <v>0</v>
      </c>
      <c r="P18" s="2">
        <v>10</v>
      </c>
      <c r="Q18" s="2">
        <v>4</v>
      </c>
      <c r="R18" s="2">
        <v>0</v>
      </c>
      <c r="S18" s="2">
        <v>8</v>
      </c>
      <c r="T18" s="2">
        <v>0</v>
      </c>
      <c r="U18" s="2">
        <v>4</v>
      </c>
      <c r="V18" s="2">
        <v>0</v>
      </c>
      <c r="W18" s="2">
        <v>8</v>
      </c>
      <c r="X18" s="2">
        <v>0</v>
      </c>
      <c r="Y18">
        <f t="shared" si="1"/>
        <v>100</v>
      </c>
      <c r="Z18" t="s">
        <v>88</v>
      </c>
    </row>
    <row r="19" spans="1:26" ht="24" x14ac:dyDescent="0.2">
      <c r="A19" s="5" t="s">
        <v>18</v>
      </c>
      <c r="B19" s="6" t="s">
        <v>19</v>
      </c>
      <c r="C19" s="6" t="str">
        <f t="shared" si="0"/>
        <v>Great Britain (£PLI)</v>
      </c>
      <c r="D19" s="22" t="s">
        <v>90</v>
      </c>
      <c r="E19" s="2">
        <v>34.4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15.1</v>
      </c>
      <c r="L19" s="2">
        <v>15.3</v>
      </c>
      <c r="M19" s="2">
        <v>0</v>
      </c>
      <c r="N19" s="2">
        <v>13.7</v>
      </c>
      <c r="O19" s="2">
        <v>0</v>
      </c>
      <c r="P19" s="2">
        <v>1.6</v>
      </c>
      <c r="Q19" s="2">
        <v>0</v>
      </c>
      <c r="R19" s="2">
        <v>8.1</v>
      </c>
      <c r="S19" s="2">
        <v>0</v>
      </c>
      <c r="T19" s="2">
        <v>0</v>
      </c>
      <c r="U19" s="2">
        <v>0</v>
      </c>
      <c r="V19" s="2">
        <v>11.8</v>
      </c>
      <c r="W19" s="2">
        <v>0</v>
      </c>
      <c r="X19" s="2">
        <v>0</v>
      </c>
      <c r="Y19">
        <f t="shared" si="1"/>
        <v>99.999999999999986</v>
      </c>
      <c r="Z19" t="s">
        <v>89</v>
      </c>
    </row>
    <row r="20" spans="1:26" x14ac:dyDescent="0.2">
      <c r="A20" s="5" t="s">
        <v>15</v>
      </c>
      <c r="B20" s="6" t="s">
        <v>16</v>
      </c>
      <c r="C20" s="6" t="str">
        <f t="shared" si="0"/>
        <v>Germany (RZG)</v>
      </c>
      <c r="D20" s="6">
        <v>2021</v>
      </c>
      <c r="E20" s="2">
        <v>36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18</v>
      </c>
      <c r="L20" s="2">
        <v>7</v>
      </c>
      <c r="M20" s="2">
        <v>0</v>
      </c>
      <c r="N20" s="2">
        <v>0</v>
      </c>
      <c r="O20" s="2">
        <v>6.75</v>
      </c>
      <c r="P20" s="2">
        <v>3</v>
      </c>
      <c r="Q20" s="2">
        <v>0</v>
      </c>
      <c r="R20" s="2">
        <v>5.25</v>
      </c>
      <c r="S20" s="2">
        <v>3</v>
      </c>
      <c r="T20" s="2">
        <v>0</v>
      </c>
      <c r="U20" s="2">
        <v>18</v>
      </c>
      <c r="V20" s="2">
        <v>0</v>
      </c>
      <c r="W20" s="2">
        <v>3</v>
      </c>
      <c r="X20" s="2">
        <v>0</v>
      </c>
      <c r="Y20">
        <f t="shared" si="1"/>
        <v>100</v>
      </c>
      <c r="Z20" t="s">
        <v>91</v>
      </c>
    </row>
    <row r="21" spans="1:26" x14ac:dyDescent="0.2">
      <c r="A21" s="8" t="s">
        <v>33</v>
      </c>
      <c r="B21" s="29" t="s">
        <v>34</v>
      </c>
      <c r="C21" s="6" t="str">
        <f t="shared" si="0"/>
        <v>France (ISU)</v>
      </c>
      <c r="D21" s="10">
        <v>2021</v>
      </c>
      <c r="E21" s="4">
        <v>35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5</v>
      </c>
      <c r="L21" s="4">
        <v>25</v>
      </c>
      <c r="M21" s="4">
        <v>0</v>
      </c>
      <c r="N21" s="2">
        <v>15</v>
      </c>
      <c r="O21" s="2">
        <v>0</v>
      </c>
      <c r="P21" s="2">
        <v>0</v>
      </c>
      <c r="Q21" s="4">
        <v>0</v>
      </c>
      <c r="R21" s="2">
        <v>5</v>
      </c>
      <c r="S21" s="2">
        <v>0</v>
      </c>
      <c r="T21" s="4">
        <v>15</v>
      </c>
      <c r="U21" s="4">
        <v>0</v>
      </c>
      <c r="V21" s="4">
        <v>0</v>
      </c>
      <c r="W21" s="4">
        <v>0</v>
      </c>
      <c r="X21" s="4">
        <v>0</v>
      </c>
      <c r="Y21">
        <f t="shared" si="1"/>
        <v>100</v>
      </c>
      <c r="Z21" t="s">
        <v>98</v>
      </c>
    </row>
    <row r="22" spans="1:26" ht="36" x14ac:dyDescent="0.2">
      <c r="A22" s="5" t="s">
        <v>46</v>
      </c>
      <c r="B22" s="6" t="s">
        <v>17</v>
      </c>
      <c r="C22" s="6" t="str">
        <f t="shared" si="0"/>
        <v>Denmark, Finland, and Sweden (NTM)</v>
      </c>
      <c r="D22" s="6">
        <v>2020</v>
      </c>
      <c r="E22" s="27">
        <f>ROUND((0.9/2.79)*100, 1)</f>
        <v>32.299999999999997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27">
        <f>ROUND(((0.13+0.06)/2.79)*100, 1)</f>
        <v>6.8</v>
      </c>
      <c r="L22" s="2">
        <f>ROUND((0.36/2.79)*100, 1)</f>
        <v>12.9</v>
      </c>
      <c r="M22" s="2">
        <v>0</v>
      </c>
      <c r="N22" s="2">
        <f>ROUND((0.3/2.79)*100, 1)</f>
        <v>10.8</v>
      </c>
      <c r="O22" s="2">
        <f>ROUND((0.18/2.79)*100, 1)</f>
        <v>6.5</v>
      </c>
      <c r="P22" s="2">
        <f>ROUND((0.28/2.79)*100, 1)</f>
        <v>10</v>
      </c>
      <c r="Q22" s="2">
        <f>ROUND(((0.09)/2.79)*100, 1)</f>
        <v>3.2</v>
      </c>
      <c r="R22" s="2">
        <f>ROUND((0.05/2.79)*100, 1)</f>
        <v>1.8</v>
      </c>
      <c r="S22" s="2">
        <v>0</v>
      </c>
      <c r="T22" s="2">
        <v>0</v>
      </c>
      <c r="U22" s="2">
        <f>ROUND((0.14/2.79)*100, 1)</f>
        <v>5</v>
      </c>
      <c r="V22" s="2">
        <f>ROUND((0.08/2.79)*100, 1)</f>
        <v>2.9</v>
      </c>
      <c r="W22" s="27">
        <f>ROUND(((0.08+0.1)/2.79)*100, 1)</f>
        <v>6.5</v>
      </c>
      <c r="X22" s="2">
        <f>ROUND((0.04/2.79)*100, 1)</f>
        <v>1.4</v>
      </c>
      <c r="Y22">
        <f>ROUND(SUM(E22:X22), 0)</f>
        <v>100</v>
      </c>
      <c r="Z22" t="s">
        <v>92</v>
      </c>
    </row>
    <row r="23" spans="1:26" x14ac:dyDescent="0.2">
      <c r="A23" s="5" t="s">
        <v>44</v>
      </c>
      <c r="B23" s="6" t="s">
        <v>31</v>
      </c>
      <c r="C23" s="6" t="str">
        <f t="shared" si="0"/>
        <v>Canada (LPI)</v>
      </c>
      <c r="D23" s="6">
        <v>2020</v>
      </c>
      <c r="E23" s="2">
        <v>0</v>
      </c>
      <c r="F23" s="2">
        <v>0</v>
      </c>
      <c r="G23" s="2">
        <v>24</v>
      </c>
      <c r="H23" s="2">
        <v>16</v>
      </c>
      <c r="I23" s="2">
        <v>0</v>
      </c>
      <c r="J23" s="2">
        <v>0</v>
      </c>
      <c r="K23" s="2">
        <v>8</v>
      </c>
      <c r="L23" s="2">
        <v>13.4</v>
      </c>
      <c r="M23" s="2">
        <v>0</v>
      </c>
      <c r="N23" s="2">
        <v>6.6</v>
      </c>
      <c r="O23" s="2">
        <v>14.8</v>
      </c>
      <c r="P23" s="2">
        <v>0</v>
      </c>
      <c r="Q23" s="2">
        <v>0</v>
      </c>
      <c r="R23" s="2">
        <v>8.4</v>
      </c>
      <c r="S23" s="2">
        <v>0</v>
      </c>
      <c r="T23" s="2">
        <v>6</v>
      </c>
      <c r="U23" s="2">
        <v>0</v>
      </c>
      <c r="V23" s="2">
        <v>0</v>
      </c>
      <c r="W23" s="2">
        <f>2.8</f>
        <v>2.8</v>
      </c>
      <c r="X23" s="2">
        <v>0</v>
      </c>
      <c r="Y23">
        <f>SUM(E23:X23)</f>
        <v>100</v>
      </c>
      <c r="Z23" t="s">
        <v>93</v>
      </c>
    </row>
    <row r="24" spans="1:26" x14ac:dyDescent="0.2">
      <c r="A24" s="5" t="s">
        <v>100</v>
      </c>
      <c r="B24" s="6" t="s">
        <v>101</v>
      </c>
      <c r="C24" s="6" t="str">
        <f t="shared" si="0"/>
        <v>Belgium (V€G)</v>
      </c>
      <c r="D24" s="6">
        <v>2020</v>
      </c>
      <c r="E24" s="2">
        <v>0</v>
      </c>
      <c r="F24" s="2">
        <v>9.6</v>
      </c>
      <c r="G24" s="2">
        <v>19.2</v>
      </c>
      <c r="H24" s="2">
        <v>19.2</v>
      </c>
      <c r="I24" s="2">
        <v>0</v>
      </c>
      <c r="J24" s="2">
        <v>0</v>
      </c>
      <c r="K24" s="2">
        <v>7</v>
      </c>
      <c r="L24" s="2">
        <v>7</v>
      </c>
      <c r="M24" s="2">
        <v>0</v>
      </c>
      <c r="N24" s="2">
        <v>7</v>
      </c>
      <c r="O24" s="2">
        <v>13.92</v>
      </c>
      <c r="P24" s="2">
        <v>7</v>
      </c>
      <c r="Q24" s="2">
        <v>0</v>
      </c>
      <c r="R24" s="2">
        <v>8.64</v>
      </c>
      <c r="S24" s="2">
        <v>0</v>
      </c>
      <c r="T24" s="2">
        <v>1.44</v>
      </c>
      <c r="U24" s="2">
        <v>0</v>
      </c>
      <c r="V24" s="2">
        <v>0</v>
      </c>
      <c r="W24" s="2">
        <v>0</v>
      </c>
      <c r="X24" s="2">
        <v>0</v>
      </c>
      <c r="Y24">
        <f>SUM(E24:X24)</f>
        <v>100</v>
      </c>
      <c r="Z24" t="s">
        <v>102</v>
      </c>
    </row>
    <row r="25" spans="1:26" x14ac:dyDescent="0.2">
      <c r="A25" s="5" t="s">
        <v>103</v>
      </c>
      <c r="B25" s="6" t="s">
        <v>104</v>
      </c>
      <c r="C25" s="6" t="str">
        <f t="shared" si="0"/>
        <v>Czech Republic (SIH)</v>
      </c>
      <c r="D25" s="6">
        <v>2020</v>
      </c>
      <c r="E25" s="2">
        <v>0</v>
      </c>
      <c r="F25" s="2">
        <v>0</v>
      </c>
      <c r="G25" s="2">
        <v>11.5</v>
      </c>
      <c r="H25" s="2">
        <v>22.5</v>
      </c>
      <c r="I25" s="2">
        <v>11</v>
      </c>
      <c r="J25" s="2">
        <v>4</v>
      </c>
      <c r="K25" s="2">
        <v>5</v>
      </c>
      <c r="L25" s="2">
        <v>15</v>
      </c>
      <c r="M25" s="2">
        <v>7</v>
      </c>
      <c r="N25" s="2">
        <v>0</v>
      </c>
      <c r="O25" s="2">
        <f>3.75+2.5+2.25+1.25+1.625+1.625</f>
        <v>13</v>
      </c>
      <c r="P25" s="2">
        <v>0</v>
      </c>
      <c r="Q25" s="2">
        <v>0</v>
      </c>
      <c r="R25" s="2">
        <f>6+2.25+1.75</f>
        <v>10</v>
      </c>
      <c r="S25" s="2">
        <v>0</v>
      </c>
      <c r="T25" s="2">
        <f>1</f>
        <v>1</v>
      </c>
      <c r="U25" s="2">
        <v>0</v>
      </c>
      <c r="V25" s="2">
        <v>0</v>
      </c>
      <c r="W25" s="2">
        <v>0</v>
      </c>
      <c r="X25" s="2">
        <v>0</v>
      </c>
      <c r="Y25">
        <f>SUM(E25:X25)</f>
        <v>100</v>
      </c>
      <c r="Z25" s="39" t="s">
        <v>105</v>
      </c>
    </row>
    <row r="26" spans="1:26" x14ac:dyDescent="0.2">
      <c r="A26" s="5" t="s">
        <v>106</v>
      </c>
      <c r="B26" s="6" t="s">
        <v>107</v>
      </c>
      <c r="C26" s="6" t="str">
        <f t="shared" si="0"/>
        <v>Hungary (HGI)</v>
      </c>
      <c r="D26" s="6">
        <v>2020</v>
      </c>
      <c r="E26" s="2">
        <v>0</v>
      </c>
      <c r="F26" s="2">
        <v>0</v>
      </c>
      <c r="G26" s="2">
        <v>15</v>
      </c>
      <c r="H26" s="2">
        <v>30</v>
      </c>
      <c r="I26" s="2">
        <v>0</v>
      </c>
      <c r="J26" s="2">
        <v>0</v>
      </c>
      <c r="K26" s="2">
        <v>10</v>
      </c>
      <c r="L26" s="2">
        <v>0</v>
      </c>
      <c r="M26" s="2">
        <v>10</v>
      </c>
      <c r="N26" s="2">
        <v>16</v>
      </c>
      <c r="O26" s="2">
        <v>0</v>
      </c>
      <c r="P26" s="2">
        <v>3</v>
      </c>
      <c r="Q26" s="2">
        <v>0</v>
      </c>
      <c r="R26" s="2">
        <v>16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>
        <f>SUM(E26:X26)</f>
        <v>100</v>
      </c>
      <c r="Z26" s="38" t="s">
        <v>108</v>
      </c>
    </row>
    <row r="27" spans="1:26" x14ac:dyDescent="0.2">
      <c r="A27" s="5" t="s">
        <v>109</v>
      </c>
      <c r="B27" s="6"/>
      <c r="C27" s="6" t="str">
        <f>A27</f>
        <v>Poland</v>
      </c>
      <c r="D27" s="25">
        <v>2020</v>
      </c>
      <c r="E27" s="2">
        <v>40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10</v>
      </c>
      <c r="L27" s="2">
        <v>15</v>
      </c>
      <c r="M27" s="2">
        <v>0</v>
      </c>
      <c r="N27" s="2">
        <v>10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25</v>
      </c>
      <c r="U27" s="2">
        <v>0</v>
      </c>
      <c r="V27" s="2">
        <v>0</v>
      </c>
      <c r="W27" s="2">
        <v>0</v>
      </c>
      <c r="X27" s="2">
        <v>0</v>
      </c>
      <c r="Y27">
        <f>SUM(E27:X27)</f>
        <v>100</v>
      </c>
      <c r="Z27" s="38" t="s">
        <v>108</v>
      </c>
    </row>
    <row r="28" spans="1:26" x14ac:dyDescent="0.2">
      <c r="A28" s="5" t="s">
        <v>110</v>
      </c>
      <c r="B28" s="6" t="s">
        <v>111</v>
      </c>
      <c r="C28" s="6" t="str">
        <f t="shared" si="0"/>
        <v>Republic of Korea (KTPI)</v>
      </c>
      <c r="D28" s="25">
        <v>2020</v>
      </c>
      <c r="E28" s="2">
        <v>0</v>
      </c>
      <c r="F28" s="2">
        <v>0</v>
      </c>
      <c r="G28" s="2">
        <v>12.5</v>
      </c>
      <c r="H28" s="2">
        <v>37.5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25</v>
      </c>
      <c r="P28" s="2">
        <v>0</v>
      </c>
      <c r="Q28" s="2">
        <v>0</v>
      </c>
      <c r="R28" s="2">
        <v>0</v>
      </c>
      <c r="S28" s="2">
        <v>0</v>
      </c>
      <c r="T28" s="2">
        <v>25</v>
      </c>
      <c r="U28" s="2">
        <v>0</v>
      </c>
      <c r="V28" s="2">
        <v>0</v>
      </c>
      <c r="W28" s="2">
        <v>0</v>
      </c>
      <c r="X28" s="2">
        <v>0</v>
      </c>
      <c r="Y28">
        <f>SUM(E28:X28)</f>
        <v>100</v>
      </c>
      <c r="Z28" s="38" t="s">
        <v>108</v>
      </c>
    </row>
    <row r="29" spans="1:26" ht="24" x14ac:dyDescent="0.2">
      <c r="A29" s="5" t="s">
        <v>112</v>
      </c>
      <c r="B29" s="6" t="s">
        <v>113</v>
      </c>
      <c r="C29" s="6" t="str">
        <f t="shared" si="0"/>
        <v>Republic of South Africa (HIS)</v>
      </c>
      <c r="D29" s="6">
        <v>2020</v>
      </c>
      <c r="E29" s="2">
        <v>0</v>
      </c>
      <c r="F29" s="2">
        <v>0</v>
      </c>
      <c r="G29" s="2">
        <v>17</v>
      </c>
      <c r="H29" s="2">
        <v>21</v>
      </c>
      <c r="I29" s="2">
        <v>0</v>
      </c>
      <c r="J29" s="2">
        <v>0</v>
      </c>
      <c r="K29" s="2">
        <v>10</v>
      </c>
      <c r="L29" s="2">
        <v>13</v>
      </c>
      <c r="M29" s="2">
        <v>5</v>
      </c>
      <c r="N29" s="2">
        <v>0</v>
      </c>
      <c r="O29" s="2">
        <v>11</v>
      </c>
      <c r="P29" s="2">
        <v>0</v>
      </c>
      <c r="Q29" s="2">
        <v>0</v>
      </c>
      <c r="R29" s="2">
        <v>6</v>
      </c>
      <c r="S29" s="2">
        <v>0</v>
      </c>
      <c r="T29" s="2">
        <f>8+1</f>
        <v>9</v>
      </c>
      <c r="U29" s="2">
        <v>0</v>
      </c>
      <c r="V29" s="2">
        <v>8</v>
      </c>
      <c r="W29" s="2">
        <v>0</v>
      </c>
      <c r="X29" s="2">
        <v>0</v>
      </c>
      <c r="Y29">
        <f>SUM(E29:X29)</f>
        <v>100</v>
      </c>
      <c r="Z29" s="38" t="s">
        <v>108</v>
      </c>
    </row>
    <row r="30" spans="1:26" x14ac:dyDescent="0.2">
      <c r="A30" s="24" t="s">
        <v>114</v>
      </c>
      <c r="B30" s="25" t="s">
        <v>115</v>
      </c>
      <c r="C30" s="25" t="str">
        <f t="shared" si="0"/>
        <v>Slovak Republic (SPI)</v>
      </c>
      <c r="D30" s="25" t="s">
        <v>77</v>
      </c>
      <c r="E30" s="2">
        <v>0</v>
      </c>
      <c r="F30" s="2">
        <v>0</v>
      </c>
      <c r="G30" s="2">
        <v>25</v>
      </c>
      <c r="H30" s="2">
        <v>75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>
        <f>SUM(E30:X30)</f>
        <v>100</v>
      </c>
      <c r="Z30" s="38" t="s">
        <v>108</v>
      </c>
    </row>
    <row r="31" spans="1:26" s="39" customFormat="1" x14ac:dyDescent="0.2">
      <c r="A31" s="5" t="s">
        <v>117</v>
      </c>
      <c r="B31" s="6" t="s">
        <v>118</v>
      </c>
      <c r="C31" s="6" t="str">
        <f t="shared" si="0"/>
        <v>Uruguay (IEP)</v>
      </c>
      <c r="D31" s="6">
        <v>2018</v>
      </c>
      <c r="E31" s="6">
        <v>0</v>
      </c>
      <c r="F31" s="6">
        <v>18.5</v>
      </c>
      <c r="G31" s="6">
        <v>10.1</v>
      </c>
      <c r="H31" s="6">
        <v>36.4</v>
      </c>
      <c r="I31" s="6">
        <v>0</v>
      </c>
      <c r="J31" s="6">
        <v>0</v>
      </c>
      <c r="K31" s="6">
        <v>0</v>
      </c>
      <c r="L31" s="6">
        <v>7.4</v>
      </c>
      <c r="M31" s="6">
        <v>27.6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>
        <f>SUM(E31:X31)</f>
        <v>100</v>
      </c>
      <c r="Z31" s="40" t="s">
        <v>119</v>
      </c>
    </row>
    <row r="32" spans="1:26" x14ac:dyDescent="0.2">
      <c r="A32" s="28" t="s">
        <v>95</v>
      </c>
      <c r="B32" s="6"/>
      <c r="C32" s="6" t="str">
        <f>A32</f>
        <v>Austria</v>
      </c>
      <c r="D32" s="22" t="s">
        <v>77</v>
      </c>
      <c r="E32" s="2">
        <v>45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15</v>
      </c>
      <c r="U32" s="2">
        <v>0</v>
      </c>
      <c r="V32" s="2">
        <v>0</v>
      </c>
      <c r="W32" s="2">
        <v>40</v>
      </c>
      <c r="X32" s="2">
        <v>0</v>
      </c>
      <c r="Y32">
        <f>SUM(E32:X32)</f>
        <v>100</v>
      </c>
      <c r="Z32" t="s">
        <v>94</v>
      </c>
    </row>
    <row r="33" spans="1:26" x14ac:dyDescent="0.2">
      <c r="A33" s="5" t="s">
        <v>12</v>
      </c>
      <c r="B33" s="6" t="s">
        <v>38</v>
      </c>
      <c r="C33" s="6" t="str">
        <f t="shared" si="0"/>
        <v>Australia (BPI)</v>
      </c>
      <c r="D33" s="22">
        <v>2020</v>
      </c>
      <c r="E33" s="2">
        <v>44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9</v>
      </c>
      <c r="U33" s="2">
        <v>35</v>
      </c>
      <c r="V33" s="2">
        <v>6</v>
      </c>
      <c r="W33" s="2">
        <v>0</v>
      </c>
      <c r="X33" s="2">
        <v>6</v>
      </c>
      <c r="Y33">
        <f>SUM(E33:X33)</f>
        <v>100</v>
      </c>
      <c r="Z33" t="s">
        <v>96</v>
      </c>
    </row>
    <row r="34" spans="1:26" ht="17" thickBot="1" x14ac:dyDescent="0.25">
      <c r="A34" s="11" t="s">
        <v>12</v>
      </c>
      <c r="B34" s="12" t="s">
        <v>39</v>
      </c>
      <c r="C34" s="7" t="str">
        <f t="shared" si="0"/>
        <v>Australia (HWI)</v>
      </c>
      <c r="D34" s="7">
        <v>2020</v>
      </c>
      <c r="E34" s="15">
        <v>28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9</v>
      </c>
      <c r="U34" s="15">
        <v>47</v>
      </c>
      <c r="V34" s="15">
        <v>10</v>
      </c>
      <c r="W34" s="15">
        <v>0</v>
      </c>
      <c r="X34" s="15">
        <v>6</v>
      </c>
      <c r="Y34">
        <f>SUM(E34:X34)</f>
        <v>100</v>
      </c>
      <c r="Z34" t="s">
        <v>96</v>
      </c>
    </row>
    <row r="36" spans="1:26" x14ac:dyDescent="0.2">
      <c r="A36" s="9" t="s">
        <v>45</v>
      </c>
    </row>
    <row r="38" spans="1:26" x14ac:dyDescent="0.2">
      <c r="A38" t="s">
        <v>65</v>
      </c>
    </row>
    <row r="39" spans="1:26" x14ac:dyDescent="0.2">
      <c r="A39" t="s">
        <v>73</v>
      </c>
    </row>
    <row r="40" spans="1:26" ht="17" thickBot="1" x14ac:dyDescent="0.25"/>
    <row r="41" spans="1:26" s="17" customFormat="1" ht="26" customHeight="1" thickBot="1" x14ac:dyDescent="0.25">
      <c r="A41" s="1"/>
      <c r="B41" s="16"/>
      <c r="C41" s="16"/>
      <c r="D41" s="16"/>
      <c r="E41" s="16" t="s">
        <v>40</v>
      </c>
      <c r="F41" s="21" t="s">
        <v>72</v>
      </c>
      <c r="G41" s="16" t="s">
        <v>11</v>
      </c>
      <c r="H41" s="16" t="s">
        <v>67</v>
      </c>
      <c r="I41" s="16" t="s">
        <v>66</v>
      </c>
      <c r="J41" s="16" t="s">
        <v>68</v>
      </c>
      <c r="K41" s="16" t="s">
        <v>51</v>
      </c>
      <c r="L41" s="16" t="s">
        <v>69</v>
      </c>
      <c r="M41" s="21" t="s">
        <v>97</v>
      </c>
      <c r="N41" s="16" t="s">
        <v>70</v>
      </c>
      <c r="O41" s="16" t="s">
        <v>71</v>
      </c>
      <c r="P41" s="16" t="s">
        <v>57</v>
      </c>
      <c r="Q41" s="16" t="s">
        <v>35</v>
      </c>
      <c r="S41" s="18"/>
      <c r="T41" s="18"/>
      <c r="U41" s="18"/>
      <c r="V41" s="18"/>
      <c r="W41" s="18"/>
      <c r="X41" s="19"/>
      <c r="Y41" s="19"/>
      <c r="Z41" s="18"/>
    </row>
    <row r="42" spans="1:26" ht="24" x14ac:dyDescent="0.2">
      <c r="A42" s="5" t="str">
        <f>A6</f>
        <v>United States</v>
      </c>
      <c r="B42" s="5" t="str">
        <f>B6</f>
        <v>NM$</v>
      </c>
      <c r="C42" s="5" t="str">
        <f>C6</f>
        <v>United States (NM$)</v>
      </c>
      <c r="D42" s="5">
        <f>D6</f>
        <v>2021</v>
      </c>
      <c r="E42" s="2">
        <f>SUM(E6:J6)</f>
        <v>48.5</v>
      </c>
      <c r="F42" s="2">
        <f>K6</f>
        <v>20.8</v>
      </c>
      <c r="G42" s="2">
        <f>L6</f>
        <v>6.7</v>
      </c>
      <c r="H42" s="2">
        <f>M6+N6+O6</f>
        <v>6.1999999999999993</v>
      </c>
      <c r="I42" s="2">
        <f>P6</f>
        <v>2.9</v>
      </c>
      <c r="J42" s="2">
        <f>U6</f>
        <v>1.2</v>
      </c>
      <c r="K42" s="2">
        <f>Q6</f>
        <v>0</v>
      </c>
      <c r="L42" s="2">
        <f>R6</f>
        <v>0.4</v>
      </c>
      <c r="M42" s="2">
        <f>T6</f>
        <v>0</v>
      </c>
      <c r="N42" s="2">
        <f>V6+S6</f>
        <v>13.2</v>
      </c>
      <c r="O42" s="2">
        <f>X6</f>
        <v>0</v>
      </c>
      <c r="P42" s="2">
        <f>W6</f>
        <v>0</v>
      </c>
      <c r="Q42" s="2">
        <f t="shared" ref="Q42:Q70" si="2">SUM(E42:P42)</f>
        <v>99.90000000000002</v>
      </c>
      <c r="Y42" s="19"/>
      <c r="Z42" s="19"/>
    </row>
    <row r="43" spans="1:26" ht="24" x14ac:dyDescent="0.2">
      <c r="A43" s="5" t="str">
        <f>A7</f>
        <v>United States</v>
      </c>
      <c r="B43" s="5" t="str">
        <f>B7</f>
        <v>CM$</v>
      </c>
      <c r="C43" s="5" t="str">
        <f>C7</f>
        <v>United States (CM$)</v>
      </c>
      <c r="D43" s="5">
        <f>D7</f>
        <v>2021</v>
      </c>
      <c r="E43" s="2">
        <f>SUM(E7:J7)</f>
        <v>50.3</v>
      </c>
      <c r="F43" s="2">
        <f>K7</f>
        <v>19.8</v>
      </c>
      <c r="G43" s="2">
        <f>L7</f>
        <v>6.3000000000000007</v>
      </c>
      <c r="H43" s="2">
        <f>M7+N7+O7</f>
        <v>6.7</v>
      </c>
      <c r="I43" s="2">
        <f>P7</f>
        <v>2.7</v>
      </c>
      <c r="J43" s="2">
        <f>U7</f>
        <v>1.2</v>
      </c>
      <c r="K43" s="2">
        <f>Q7</f>
        <v>0</v>
      </c>
      <c r="L43" s="2">
        <f>R7</f>
        <v>0.4</v>
      </c>
      <c r="M43" s="2">
        <f>T7</f>
        <v>0</v>
      </c>
      <c r="N43" s="2">
        <f>V7+S7</f>
        <v>12.5</v>
      </c>
      <c r="O43" s="2">
        <f>X7</f>
        <v>0</v>
      </c>
      <c r="P43" s="2">
        <f>W7</f>
        <v>0</v>
      </c>
      <c r="Q43" s="2">
        <f t="shared" si="2"/>
        <v>99.9</v>
      </c>
      <c r="Y43" s="19"/>
      <c r="Z43" s="19"/>
    </row>
    <row r="44" spans="1:26" ht="24" x14ac:dyDescent="0.2">
      <c r="A44" s="5" t="str">
        <f>A8</f>
        <v>United States</v>
      </c>
      <c r="B44" s="5" t="str">
        <f>B8</f>
        <v>FM$</v>
      </c>
      <c r="C44" s="5" t="str">
        <f>C8</f>
        <v>United States (FM$)</v>
      </c>
      <c r="D44" s="5">
        <f>D8</f>
        <v>2021</v>
      </c>
      <c r="E44" s="2">
        <f>SUM(E8:J8)</f>
        <v>50.2</v>
      </c>
      <c r="F44" s="2">
        <f>K8</f>
        <v>20.5</v>
      </c>
      <c r="G44" s="2">
        <f>L8</f>
        <v>6.7</v>
      </c>
      <c r="H44" s="2">
        <f>M8+N8+O8</f>
        <v>5</v>
      </c>
      <c r="I44" s="2">
        <f>P8</f>
        <v>2.8</v>
      </c>
      <c r="J44" s="2">
        <f>U8</f>
        <v>1.2</v>
      </c>
      <c r="K44" s="2">
        <f>Q8</f>
        <v>0</v>
      </c>
      <c r="L44" s="2">
        <f>R8</f>
        <v>0.4</v>
      </c>
      <c r="M44" s="2">
        <f>T8</f>
        <v>0</v>
      </c>
      <c r="N44" s="2">
        <f>V8+S8</f>
        <v>13.100000000000001</v>
      </c>
      <c r="O44" s="2">
        <f>X8</f>
        <v>0</v>
      </c>
      <c r="P44" s="2">
        <f>W8</f>
        <v>0</v>
      </c>
      <c r="Q44" s="2">
        <f t="shared" si="2"/>
        <v>99.9</v>
      </c>
      <c r="Y44" s="19"/>
      <c r="Z44" s="19"/>
    </row>
    <row r="45" spans="1:26" ht="24" x14ac:dyDescent="0.2">
      <c r="A45" s="5" t="str">
        <f>A9</f>
        <v>United States</v>
      </c>
      <c r="B45" s="5" t="str">
        <f>B9</f>
        <v>GM$</v>
      </c>
      <c r="C45" s="5" t="str">
        <f>C9</f>
        <v>United States (GM$)</v>
      </c>
      <c r="D45" s="5">
        <f>D9</f>
        <v>2021</v>
      </c>
      <c r="E45" s="2">
        <f>SUM(E9:J9)</f>
        <v>46.8</v>
      </c>
      <c r="F45" s="2">
        <f>K9</f>
        <v>10.6</v>
      </c>
      <c r="G45" s="2">
        <f>L9</f>
        <v>16.099999999999998</v>
      </c>
      <c r="H45" s="2">
        <f>M9+N9+O9</f>
        <v>6.6</v>
      </c>
      <c r="I45" s="2">
        <f>P9</f>
        <v>2.6</v>
      </c>
      <c r="J45" s="2">
        <f>U9</f>
        <v>1.4</v>
      </c>
      <c r="K45" s="2">
        <f>Q9</f>
        <v>0</v>
      </c>
      <c r="L45" s="2">
        <f>R9</f>
        <v>0.4</v>
      </c>
      <c r="M45" s="2">
        <f>T9</f>
        <v>0</v>
      </c>
      <c r="N45" s="2">
        <f>V9+S9</f>
        <v>15.100000000000001</v>
      </c>
      <c r="O45" s="2">
        <f>X9</f>
        <v>0</v>
      </c>
      <c r="P45" s="2">
        <f>W9</f>
        <v>0</v>
      </c>
      <c r="Q45" s="2">
        <f t="shared" si="2"/>
        <v>99.6</v>
      </c>
      <c r="Y45" s="19"/>
      <c r="Z45" s="19"/>
    </row>
    <row r="46" spans="1:26" ht="24" x14ac:dyDescent="0.2">
      <c r="A46" s="5" t="str">
        <f>A10</f>
        <v>United States</v>
      </c>
      <c r="B46" s="5" t="str">
        <f>B10</f>
        <v>TPI</v>
      </c>
      <c r="C46" s="5" t="str">
        <f>C10</f>
        <v>United States (TPI)</v>
      </c>
      <c r="D46" s="5">
        <f>D10</f>
        <v>2021</v>
      </c>
      <c r="E46" s="2">
        <f>SUM(E10:J10)</f>
        <v>38</v>
      </c>
      <c r="F46" s="2">
        <f>K10</f>
        <v>8</v>
      </c>
      <c r="G46" s="2">
        <f>L10</f>
        <v>13</v>
      </c>
      <c r="H46" s="2">
        <f>M10+N10+O10</f>
        <v>15</v>
      </c>
      <c r="I46" s="2">
        <f>P10</f>
        <v>2</v>
      </c>
      <c r="J46" s="2">
        <f>U10</f>
        <v>2</v>
      </c>
      <c r="K46" s="2">
        <f>Q10</f>
        <v>0</v>
      </c>
      <c r="L46" s="2">
        <f>R10</f>
        <v>6</v>
      </c>
      <c r="M46" s="2">
        <f>T10</f>
        <v>8</v>
      </c>
      <c r="N46" s="2">
        <f>V10+S10</f>
        <v>8</v>
      </c>
      <c r="O46" s="2">
        <f>X10</f>
        <v>0</v>
      </c>
      <c r="P46" s="2">
        <f>W10</f>
        <v>0</v>
      </c>
      <c r="Q46" s="2">
        <f t="shared" si="2"/>
        <v>100</v>
      </c>
      <c r="Y46" s="19"/>
      <c r="Z46" s="19"/>
    </row>
    <row r="47" spans="1:26" ht="24" x14ac:dyDescent="0.2">
      <c r="A47" s="5" t="str">
        <f>A11</f>
        <v>The Netherlands</v>
      </c>
      <c r="B47" s="5" t="str">
        <f>B11</f>
        <v>NVI Dairy</v>
      </c>
      <c r="C47" s="5" t="str">
        <f>C11</f>
        <v>The Netherlands (NVI Dairy)</v>
      </c>
      <c r="D47" s="5">
        <f>D11</f>
        <v>2018</v>
      </c>
      <c r="E47" s="2">
        <f>SUM(E11:J11)</f>
        <v>29</v>
      </c>
      <c r="F47" s="2">
        <f>K11</f>
        <v>12</v>
      </c>
      <c r="G47" s="2">
        <f>L11</f>
        <v>16</v>
      </c>
      <c r="H47" s="2">
        <f>M11+N11+O11</f>
        <v>17</v>
      </c>
      <c r="I47" s="2">
        <f>P11</f>
        <v>5</v>
      </c>
      <c r="J47" s="2">
        <f>U11</f>
        <v>7</v>
      </c>
      <c r="K47" s="2">
        <f>Q11</f>
        <v>0</v>
      </c>
      <c r="L47" s="2">
        <f>R11</f>
        <v>9</v>
      </c>
      <c r="M47" s="2">
        <f>T11</f>
        <v>0</v>
      </c>
      <c r="N47" s="2">
        <f>V11+S11</f>
        <v>5</v>
      </c>
      <c r="O47" s="2">
        <f>X11</f>
        <v>0</v>
      </c>
      <c r="P47" s="2">
        <f>W11</f>
        <v>0</v>
      </c>
      <c r="Q47" s="2">
        <f t="shared" si="2"/>
        <v>100</v>
      </c>
      <c r="Y47" s="19"/>
      <c r="Z47" s="19"/>
    </row>
    <row r="48" spans="1:26" ht="24" x14ac:dyDescent="0.2">
      <c r="A48" s="5" t="str">
        <f>A12</f>
        <v>Switzerland</v>
      </c>
      <c r="B48" s="5" t="str">
        <f>B12</f>
        <v>ISEL</v>
      </c>
      <c r="C48" s="5" t="str">
        <f>C12</f>
        <v>Switzerland (ISEL)</v>
      </c>
      <c r="D48" s="5">
        <f>D12</f>
        <v>2021</v>
      </c>
      <c r="E48" s="2">
        <f>SUM(E12:J12)</f>
        <v>40</v>
      </c>
      <c r="F48" s="2">
        <f>K12</f>
        <v>4</v>
      </c>
      <c r="G48" s="2">
        <f>L12</f>
        <v>18</v>
      </c>
      <c r="H48" s="2">
        <f>M12+N12+O12</f>
        <v>22</v>
      </c>
      <c r="I48" s="2">
        <f>P12</f>
        <v>0</v>
      </c>
      <c r="J48" s="2">
        <f>U12</f>
        <v>0</v>
      </c>
      <c r="K48" s="2">
        <f>Q12</f>
        <v>0</v>
      </c>
      <c r="L48" s="2">
        <f>R12</f>
        <v>8</v>
      </c>
      <c r="M48" s="2">
        <f>T12</f>
        <v>0</v>
      </c>
      <c r="N48" s="2">
        <f>V12+S12</f>
        <v>4</v>
      </c>
      <c r="O48" s="2">
        <f>X12</f>
        <v>0</v>
      </c>
      <c r="P48" s="2">
        <f>W12</f>
        <v>4</v>
      </c>
      <c r="Q48" s="2">
        <f t="shared" si="2"/>
        <v>100</v>
      </c>
      <c r="Y48" s="19"/>
      <c r="Z48" s="19"/>
    </row>
    <row r="49" spans="1:26" ht="24" x14ac:dyDescent="0.2">
      <c r="A49" s="5" t="str">
        <f>A13</f>
        <v>Spain</v>
      </c>
      <c r="B49" s="5" t="str">
        <f>B13</f>
        <v>GICO</v>
      </c>
      <c r="C49" s="5" t="str">
        <f>C13</f>
        <v>Spain (GICO)</v>
      </c>
      <c r="D49" s="5">
        <f>D13</f>
        <v>2015</v>
      </c>
      <c r="E49" s="2">
        <f>SUM(E13:J13)</f>
        <v>51</v>
      </c>
      <c r="F49" s="2">
        <f>K13</f>
        <v>10</v>
      </c>
      <c r="G49" s="2">
        <f>L13</f>
        <v>8</v>
      </c>
      <c r="H49" s="2">
        <f>M13+N13+O13</f>
        <v>22</v>
      </c>
      <c r="I49" s="2">
        <f>P13</f>
        <v>0</v>
      </c>
      <c r="J49" s="2">
        <f>U13</f>
        <v>0</v>
      </c>
      <c r="K49" s="2">
        <f>Q13</f>
        <v>0</v>
      </c>
      <c r="L49" s="2">
        <f>R13</f>
        <v>9</v>
      </c>
      <c r="M49" s="2">
        <f>T13</f>
        <v>0</v>
      </c>
      <c r="N49" s="2">
        <f>V13+S13</f>
        <v>0</v>
      </c>
      <c r="O49" s="2">
        <f>X13</f>
        <v>0</v>
      </c>
      <c r="P49" s="2">
        <f>W13</f>
        <v>0</v>
      </c>
      <c r="Q49" s="2">
        <f t="shared" si="2"/>
        <v>100</v>
      </c>
      <c r="Y49" s="19"/>
      <c r="Z49" s="19"/>
    </row>
    <row r="50" spans="1:26" ht="24" x14ac:dyDescent="0.2">
      <c r="A50" s="5" t="str">
        <f>A14</f>
        <v>New Zealand</v>
      </c>
      <c r="B50" s="5" t="str">
        <f>B14</f>
        <v>BW</v>
      </c>
      <c r="C50" s="5" t="str">
        <f>C14</f>
        <v>New Zealand (BW)</v>
      </c>
      <c r="D50" s="5">
        <f>D14</f>
        <v>2016</v>
      </c>
      <c r="E50" s="2">
        <f>SUM(E14:J14)</f>
        <v>54</v>
      </c>
      <c r="F50" s="2">
        <f>K14</f>
        <v>9</v>
      </c>
      <c r="G50" s="2">
        <f>L14</f>
        <v>13</v>
      </c>
      <c r="H50" s="2">
        <f>M14+N14+O14</f>
        <v>6</v>
      </c>
      <c r="I50" s="2">
        <f>P14</f>
        <v>0</v>
      </c>
      <c r="J50" s="2">
        <f>U14</f>
        <v>0</v>
      </c>
      <c r="K50" s="2">
        <f>Q14</f>
        <v>0</v>
      </c>
      <c r="L50" s="2">
        <f>R14</f>
        <v>0</v>
      </c>
      <c r="M50" s="2">
        <f>T14</f>
        <v>0</v>
      </c>
      <c r="N50" s="2">
        <f>V14+S14</f>
        <v>11</v>
      </c>
      <c r="O50" s="2">
        <f>X14</f>
        <v>0</v>
      </c>
      <c r="P50" s="2">
        <f>W14</f>
        <v>7</v>
      </c>
      <c r="Q50" s="2">
        <f t="shared" si="2"/>
        <v>100</v>
      </c>
      <c r="Y50" s="19"/>
      <c r="Z50" s="19"/>
    </row>
    <row r="51" spans="1:26" ht="24" x14ac:dyDescent="0.2">
      <c r="A51" s="5" t="str">
        <f>A15</f>
        <v>Japan</v>
      </c>
      <c r="B51" s="5" t="str">
        <f>B15</f>
        <v>Lifetime Merit</v>
      </c>
      <c r="C51" s="5" t="str">
        <f>C15</f>
        <v>Japan (Lifetime Merit)</v>
      </c>
      <c r="D51" s="5">
        <f>D15</f>
        <v>2011</v>
      </c>
      <c r="E51" s="2">
        <f>SUM(E15:J15)</f>
        <v>17</v>
      </c>
      <c r="F51" s="2">
        <f>K15</f>
        <v>26</v>
      </c>
      <c r="G51" s="2">
        <f>L15</f>
        <v>0</v>
      </c>
      <c r="H51" s="2">
        <f>M15+N15+O15</f>
        <v>14</v>
      </c>
      <c r="I51" s="2">
        <f>P15</f>
        <v>0</v>
      </c>
      <c r="J51" s="2">
        <f>U15</f>
        <v>0</v>
      </c>
      <c r="K51" s="2">
        <f>Q15</f>
        <v>0</v>
      </c>
      <c r="L51" s="2">
        <f>R15</f>
        <v>4</v>
      </c>
      <c r="M51" s="2">
        <f>T15</f>
        <v>2</v>
      </c>
      <c r="N51" s="2">
        <f>V15+S15</f>
        <v>0</v>
      </c>
      <c r="O51" s="2">
        <f>X15</f>
        <v>0</v>
      </c>
      <c r="P51" s="2">
        <f>W15</f>
        <v>37</v>
      </c>
      <c r="Q51" s="2">
        <f t="shared" si="2"/>
        <v>100</v>
      </c>
      <c r="Y51" s="19"/>
      <c r="Z51" s="19"/>
    </row>
    <row r="52" spans="1:26" ht="24" x14ac:dyDescent="0.2">
      <c r="A52" s="5" t="str">
        <f>A16</f>
        <v>Italy</v>
      </c>
      <c r="B52" s="5" t="str">
        <f>B16</f>
        <v>PFT</v>
      </c>
      <c r="C52" s="5" t="str">
        <f>C16</f>
        <v>Italy (PFT)</v>
      </c>
      <c r="D52" s="5">
        <f>D16</f>
        <v>2019</v>
      </c>
      <c r="E52" s="2">
        <f>SUM(E16:J16)</f>
        <v>47</v>
      </c>
      <c r="F52" s="2">
        <f>K16</f>
        <v>5</v>
      </c>
      <c r="G52" s="2">
        <f>L16</f>
        <v>20</v>
      </c>
      <c r="H52" s="2">
        <f>M16+N16+O16</f>
        <v>20</v>
      </c>
      <c r="I52" s="2">
        <f>P16</f>
        <v>0</v>
      </c>
      <c r="J52" s="2">
        <f>U16</f>
        <v>0</v>
      </c>
      <c r="K52" s="2">
        <f>Q16</f>
        <v>0</v>
      </c>
      <c r="L52" s="2">
        <f>R16</f>
        <v>4</v>
      </c>
      <c r="M52" s="2">
        <f>T16</f>
        <v>4</v>
      </c>
      <c r="N52" s="2">
        <f>V16+S16</f>
        <v>0</v>
      </c>
      <c r="O52" s="2">
        <f>X16</f>
        <v>0</v>
      </c>
      <c r="P52" s="2">
        <f>W16</f>
        <v>0</v>
      </c>
      <c r="Q52" s="2">
        <f t="shared" si="2"/>
        <v>100</v>
      </c>
      <c r="Y52" s="19"/>
      <c r="Z52" s="19"/>
    </row>
    <row r="53" spans="1:26" ht="24" x14ac:dyDescent="0.2">
      <c r="A53" s="5" t="str">
        <f>A17</f>
        <v>Israel</v>
      </c>
      <c r="B53" s="5" t="str">
        <f>B17</f>
        <v>PD20</v>
      </c>
      <c r="C53" s="5" t="str">
        <f>C17</f>
        <v>Israel (PD20)</v>
      </c>
      <c r="D53" s="5">
        <f>D17</f>
        <v>2011</v>
      </c>
      <c r="E53" s="2">
        <f>SUM(E17:J17)</f>
        <v>29.82</v>
      </c>
      <c r="F53" s="2">
        <f>K17</f>
        <v>0.6</v>
      </c>
      <c r="G53" s="2">
        <f>L17</f>
        <v>26</v>
      </c>
      <c r="H53" s="2">
        <f>M17+N17+O17</f>
        <v>24</v>
      </c>
      <c r="I53" s="2">
        <f>P17</f>
        <v>9</v>
      </c>
      <c r="J53" s="2">
        <f>U17</f>
        <v>0</v>
      </c>
      <c r="K53" s="2">
        <f>Q17</f>
        <v>0</v>
      </c>
      <c r="L53" s="2">
        <f>R17</f>
        <v>0</v>
      </c>
      <c r="M53" s="2">
        <f>T17</f>
        <v>0</v>
      </c>
      <c r="N53" s="2">
        <f>V17+S17</f>
        <v>0</v>
      </c>
      <c r="O53" s="2">
        <f>X17</f>
        <v>0</v>
      </c>
      <c r="P53" s="2">
        <f>W17</f>
        <v>10</v>
      </c>
      <c r="Q53" s="2">
        <f t="shared" si="2"/>
        <v>99.42</v>
      </c>
      <c r="Y53" s="19"/>
      <c r="Z53" s="19"/>
    </row>
    <row r="54" spans="1:26" ht="24" x14ac:dyDescent="0.2">
      <c r="A54" s="5" t="str">
        <f>A18</f>
        <v>Ireland</v>
      </c>
      <c r="B54" s="5" t="str">
        <f>B18</f>
        <v>EBI</v>
      </c>
      <c r="C54" s="5" t="str">
        <f>C18</f>
        <v>Ireland (EBI)</v>
      </c>
      <c r="D54" s="5">
        <f>D18</f>
        <v>2017</v>
      </c>
      <c r="E54" s="2">
        <f>SUM(E18:J18)</f>
        <v>33</v>
      </c>
      <c r="F54" s="2">
        <f>K18</f>
        <v>0</v>
      </c>
      <c r="G54" s="2">
        <f>L18</f>
        <v>33</v>
      </c>
      <c r="H54" s="2">
        <f>M18+N18+O18</f>
        <v>0</v>
      </c>
      <c r="I54" s="2">
        <f>P18</f>
        <v>10</v>
      </c>
      <c r="J54" s="2">
        <f>U18</f>
        <v>4</v>
      </c>
      <c r="K54" s="2">
        <f>Q18</f>
        <v>4</v>
      </c>
      <c r="L54" s="2">
        <f>R18</f>
        <v>0</v>
      </c>
      <c r="M54" s="2">
        <f>T18</f>
        <v>0</v>
      </c>
      <c r="N54" s="2">
        <f>V18+S18</f>
        <v>8</v>
      </c>
      <c r="O54" s="2">
        <f>X18</f>
        <v>0</v>
      </c>
      <c r="P54" s="2">
        <f>W18</f>
        <v>8</v>
      </c>
      <c r="Q54" s="2">
        <f t="shared" si="2"/>
        <v>100</v>
      </c>
      <c r="Y54" s="19"/>
      <c r="Z54" s="19"/>
    </row>
    <row r="55" spans="1:26" ht="24" x14ac:dyDescent="0.2">
      <c r="A55" s="5" t="str">
        <f>A19</f>
        <v>Great Britain</v>
      </c>
      <c r="B55" s="5" t="str">
        <f>B19</f>
        <v>£PLI</v>
      </c>
      <c r="C55" s="5" t="str">
        <f>C19</f>
        <v>Great Britain (£PLI)</v>
      </c>
      <c r="D55" s="5" t="str">
        <f>D19</f>
        <v>2020?</v>
      </c>
      <c r="E55" s="2">
        <f>SUM(E19:J19)</f>
        <v>34.4</v>
      </c>
      <c r="F55" s="2">
        <f>K19</f>
        <v>15.1</v>
      </c>
      <c r="G55" s="2">
        <f>L19</f>
        <v>15.3</v>
      </c>
      <c r="H55" s="2">
        <f>M19+N19+O19</f>
        <v>13.7</v>
      </c>
      <c r="I55" s="2">
        <f>P19</f>
        <v>1.6</v>
      </c>
      <c r="J55" s="2">
        <f>U19</f>
        <v>0</v>
      </c>
      <c r="K55" s="2">
        <f>Q19</f>
        <v>0</v>
      </c>
      <c r="L55" s="2">
        <f>R19</f>
        <v>8.1</v>
      </c>
      <c r="M55" s="2">
        <f>T19</f>
        <v>0</v>
      </c>
      <c r="N55" s="2">
        <f>V19+S19</f>
        <v>11.8</v>
      </c>
      <c r="O55" s="2">
        <f>X19</f>
        <v>0</v>
      </c>
      <c r="P55" s="2">
        <f>W19</f>
        <v>0</v>
      </c>
      <c r="Q55" s="2">
        <f t="shared" si="2"/>
        <v>99.999999999999986</v>
      </c>
      <c r="Y55" s="19"/>
      <c r="Z55" s="19"/>
    </row>
    <row r="56" spans="1:26" ht="24" x14ac:dyDescent="0.2">
      <c r="A56" s="5" t="str">
        <f>A20</f>
        <v>Germany</v>
      </c>
      <c r="B56" s="5" t="str">
        <f>B20</f>
        <v>RZG</v>
      </c>
      <c r="C56" s="5" t="str">
        <f>C20</f>
        <v>Germany (RZG)</v>
      </c>
      <c r="D56" s="5">
        <f>D20</f>
        <v>2021</v>
      </c>
      <c r="E56" s="2">
        <f>SUM(E20:J20)</f>
        <v>36</v>
      </c>
      <c r="F56" s="2">
        <f>K20</f>
        <v>18</v>
      </c>
      <c r="G56" s="2">
        <f>L20</f>
        <v>7</v>
      </c>
      <c r="H56" s="2">
        <f>M20+N20+O20</f>
        <v>6.75</v>
      </c>
      <c r="I56" s="2">
        <f>P20</f>
        <v>3</v>
      </c>
      <c r="J56" s="2">
        <f>U20</f>
        <v>18</v>
      </c>
      <c r="K56" s="2">
        <f>Q20</f>
        <v>0</v>
      </c>
      <c r="L56" s="2">
        <f>R20</f>
        <v>5.25</v>
      </c>
      <c r="M56" s="2">
        <f>T20</f>
        <v>0</v>
      </c>
      <c r="N56" s="2">
        <f>V20+S20</f>
        <v>3</v>
      </c>
      <c r="O56" s="2">
        <f>X20</f>
        <v>0</v>
      </c>
      <c r="P56" s="2">
        <f>W20</f>
        <v>3</v>
      </c>
      <c r="Q56" s="2">
        <f t="shared" si="2"/>
        <v>100</v>
      </c>
      <c r="Y56" s="19"/>
      <c r="Z56" s="19"/>
    </row>
    <row r="57" spans="1:26" ht="24" x14ac:dyDescent="0.2">
      <c r="A57" s="5" t="str">
        <f>A21</f>
        <v>France</v>
      </c>
      <c r="B57" s="5" t="str">
        <f>B21</f>
        <v>ISU</v>
      </c>
      <c r="C57" s="5" t="str">
        <f>C21</f>
        <v>France (ISU)</v>
      </c>
      <c r="D57" s="5">
        <f>D21</f>
        <v>2021</v>
      </c>
      <c r="E57" s="2">
        <f>SUM(E21:J21)</f>
        <v>35</v>
      </c>
      <c r="F57" s="2">
        <f>K21</f>
        <v>5</v>
      </c>
      <c r="G57" s="2">
        <f>L21</f>
        <v>25</v>
      </c>
      <c r="H57" s="2">
        <f>M21+N21+O21</f>
        <v>15</v>
      </c>
      <c r="I57" s="2">
        <f>P21</f>
        <v>0</v>
      </c>
      <c r="J57" s="2">
        <f>U21</f>
        <v>0</v>
      </c>
      <c r="K57" s="2">
        <f>Q21</f>
        <v>0</v>
      </c>
      <c r="L57" s="2">
        <f>R21</f>
        <v>5</v>
      </c>
      <c r="M57" s="2">
        <f>T21</f>
        <v>15</v>
      </c>
      <c r="N57" s="2">
        <f>V21+S21</f>
        <v>0</v>
      </c>
      <c r="O57" s="2">
        <f>X21</f>
        <v>0</v>
      </c>
      <c r="P57" s="2">
        <f>W21</f>
        <v>0</v>
      </c>
      <c r="Q57" s="2">
        <f t="shared" si="2"/>
        <v>100</v>
      </c>
      <c r="Y57" s="19"/>
      <c r="Z57" s="19"/>
    </row>
    <row r="58" spans="1:26" ht="39" customHeight="1" x14ac:dyDescent="0.2">
      <c r="A58" s="5" t="str">
        <f>A22</f>
        <v>Denmark, Finland, and Sweden</v>
      </c>
      <c r="B58" s="5" t="str">
        <f>B22</f>
        <v>NTM</v>
      </c>
      <c r="C58" s="5" t="str">
        <f>C22</f>
        <v>Denmark, Finland, and Sweden (NTM)</v>
      </c>
      <c r="D58" s="5">
        <f>D22</f>
        <v>2020</v>
      </c>
      <c r="E58" s="2">
        <f>SUM(E22:J22)</f>
        <v>32.299999999999997</v>
      </c>
      <c r="F58" s="2">
        <f>K22</f>
        <v>6.8</v>
      </c>
      <c r="G58" s="2">
        <f>L22</f>
        <v>12.9</v>
      </c>
      <c r="H58" s="2">
        <f>M22+N22+O22</f>
        <v>17.3</v>
      </c>
      <c r="I58" s="2">
        <f>P22</f>
        <v>10</v>
      </c>
      <c r="J58" s="2">
        <f>U22</f>
        <v>5</v>
      </c>
      <c r="K58" s="2">
        <f>Q22</f>
        <v>3.2</v>
      </c>
      <c r="L58" s="2">
        <f>R22</f>
        <v>1.8</v>
      </c>
      <c r="M58" s="2">
        <f>T22</f>
        <v>0</v>
      </c>
      <c r="N58" s="2">
        <f>V22+S22</f>
        <v>2.9</v>
      </c>
      <c r="O58" s="2">
        <f>X22</f>
        <v>1.4</v>
      </c>
      <c r="P58" s="2">
        <f>W22</f>
        <v>6.5</v>
      </c>
      <c r="Q58" s="2">
        <f t="shared" si="2"/>
        <v>100.10000000000001</v>
      </c>
      <c r="Y58" s="19"/>
      <c r="Z58" s="19"/>
    </row>
    <row r="59" spans="1:26" x14ac:dyDescent="0.2">
      <c r="A59" s="5" t="str">
        <f>A23</f>
        <v>Canada</v>
      </c>
      <c r="B59" s="5" t="str">
        <f>B23</f>
        <v>LPI</v>
      </c>
      <c r="C59" s="5" t="str">
        <f>C23</f>
        <v>Canada (LPI)</v>
      </c>
      <c r="D59" s="5">
        <f>D23</f>
        <v>2020</v>
      </c>
      <c r="E59" s="2">
        <f>SUM(E23:J23)</f>
        <v>40</v>
      </c>
      <c r="F59" s="2">
        <f>K23</f>
        <v>8</v>
      </c>
      <c r="G59" s="2">
        <f>L23</f>
        <v>13.4</v>
      </c>
      <c r="H59" s="2">
        <f>M23+N23+O23</f>
        <v>21.4</v>
      </c>
      <c r="I59" s="2">
        <f>P23</f>
        <v>0</v>
      </c>
      <c r="J59" s="2">
        <f>U23</f>
        <v>0</v>
      </c>
      <c r="K59" s="2">
        <f>Q23</f>
        <v>0</v>
      </c>
      <c r="L59" s="2">
        <f>R23</f>
        <v>8.4</v>
      </c>
      <c r="M59" s="2">
        <f>T23</f>
        <v>6</v>
      </c>
      <c r="N59" s="2">
        <f>V23+S23</f>
        <v>0</v>
      </c>
      <c r="O59" s="2">
        <f>X23</f>
        <v>0</v>
      </c>
      <c r="P59" s="2">
        <f>W23</f>
        <v>2.8</v>
      </c>
      <c r="Q59" s="2">
        <f t="shared" si="2"/>
        <v>100</v>
      </c>
      <c r="Y59" s="19"/>
      <c r="Z59" s="19"/>
    </row>
    <row r="60" spans="1:26" x14ac:dyDescent="0.2">
      <c r="A60" s="5" t="str">
        <f>A24</f>
        <v>Belgium</v>
      </c>
      <c r="B60" s="5" t="str">
        <f>B24</f>
        <v>V€G</v>
      </c>
      <c r="C60" s="5" t="str">
        <f>C24</f>
        <v>Belgium (V€G)</v>
      </c>
      <c r="D60" s="5">
        <f>D24</f>
        <v>2020</v>
      </c>
      <c r="E60" s="2">
        <f>SUM(E24:J24)</f>
        <v>48</v>
      </c>
      <c r="F60" s="2">
        <f t="shared" ref="F60:G60" si="3">K24</f>
        <v>7</v>
      </c>
      <c r="G60" s="2">
        <f t="shared" si="3"/>
        <v>7</v>
      </c>
      <c r="H60" s="2">
        <f>M24+N24+O24</f>
        <v>20.92</v>
      </c>
      <c r="I60" s="2">
        <f t="shared" ref="I60:I61" si="4">P24</f>
        <v>7</v>
      </c>
      <c r="J60" s="2">
        <f t="shared" ref="J60:J61" si="5">U24</f>
        <v>0</v>
      </c>
      <c r="K60" s="2">
        <f t="shared" ref="K60:L60" si="6">Q24</f>
        <v>0</v>
      </c>
      <c r="L60" s="2">
        <f t="shared" si="6"/>
        <v>8.64</v>
      </c>
      <c r="M60" s="2">
        <f t="shared" ref="M60:M61" si="7">T24</f>
        <v>1.44</v>
      </c>
      <c r="N60" s="2">
        <f t="shared" ref="N60:N61" si="8">V24+S24</f>
        <v>0</v>
      </c>
      <c r="O60" s="2">
        <f t="shared" ref="O60:O61" si="9">X24</f>
        <v>0</v>
      </c>
      <c r="P60" s="2">
        <f t="shared" ref="P60:P61" si="10">W24</f>
        <v>0</v>
      </c>
      <c r="Q60" s="2">
        <f t="shared" ref="Q60:Q61" si="11">SUM(E60:P60)</f>
        <v>100</v>
      </c>
      <c r="Y60" s="19"/>
      <c r="Z60" s="19"/>
    </row>
    <row r="61" spans="1:26" x14ac:dyDescent="0.2">
      <c r="A61" s="5" t="str">
        <f>A25</f>
        <v>Czech Republic</v>
      </c>
      <c r="B61" s="5" t="str">
        <f>B25</f>
        <v>SIH</v>
      </c>
      <c r="C61" s="5" t="str">
        <f>C25</f>
        <v>Czech Republic (SIH)</v>
      </c>
      <c r="D61" s="5">
        <f>D25</f>
        <v>2020</v>
      </c>
      <c r="E61" s="2">
        <f>SUM(E25:J25)</f>
        <v>49</v>
      </c>
      <c r="F61" s="2">
        <f t="shared" ref="F61:G61" si="12">K25</f>
        <v>5</v>
      </c>
      <c r="G61" s="2">
        <f t="shared" si="12"/>
        <v>15</v>
      </c>
      <c r="H61" s="2">
        <f>M25+N25+O25</f>
        <v>20</v>
      </c>
      <c r="I61" s="2">
        <f t="shared" si="4"/>
        <v>0</v>
      </c>
      <c r="J61" s="2">
        <f t="shared" si="5"/>
        <v>0</v>
      </c>
      <c r="K61" s="2">
        <f t="shared" ref="K61:L61" si="13">Q25</f>
        <v>0</v>
      </c>
      <c r="L61" s="2">
        <f t="shared" si="13"/>
        <v>10</v>
      </c>
      <c r="M61" s="2">
        <f t="shared" si="7"/>
        <v>1</v>
      </c>
      <c r="N61" s="2">
        <f t="shared" si="8"/>
        <v>0</v>
      </c>
      <c r="O61" s="2">
        <f t="shared" si="9"/>
        <v>0</v>
      </c>
      <c r="P61" s="2">
        <f t="shared" si="10"/>
        <v>0</v>
      </c>
      <c r="Q61" s="2">
        <f t="shared" si="11"/>
        <v>100</v>
      </c>
      <c r="Y61" s="19"/>
      <c r="Z61" s="19"/>
    </row>
    <row r="62" spans="1:26" x14ac:dyDescent="0.2">
      <c r="A62" s="5" t="str">
        <f>A26</f>
        <v>Hungary</v>
      </c>
      <c r="B62" s="5" t="str">
        <f>B26</f>
        <v>HGI</v>
      </c>
      <c r="C62" s="5" t="str">
        <f>C26</f>
        <v>Hungary (HGI)</v>
      </c>
      <c r="D62" s="5">
        <f>D26</f>
        <v>2020</v>
      </c>
      <c r="E62" s="2">
        <f>SUM(E26:J26)</f>
        <v>45</v>
      </c>
      <c r="F62" s="2">
        <f t="shared" ref="F62:F63" si="14">K26</f>
        <v>10</v>
      </c>
      <c r="G62" s="2">
        <f t="shared" ref="G62:G63" si="15">L26</f>
        <v>0</v>
      </c>
      <c r="H62" s="2">
        <f>M26+N26+O26</f>
        <v>26</v>
      </c>
      <c r="I62" s="2">
        <f t="shared" ref="I62:I63" si="16">P26</f>
        <v>3</v>
      </c>
      <c r="J62" s="2">
        <f t="shared" ref="J62:J63" si="17">U26</f>
        <v>0</v>
      </c>
      <c r="K62" s="2">
        <f t="shared" ref="K62:K63" si="18">Q26</f>
        <v>0</v>
      </c>
      <c r="L62" s="2">
        <f t="shared" ref="L62:L63" si="19">R26</f>
        <v>16</v>
      </c>
      <c r="M62" s="2">
        <f t="shared" ref="M62:M63" si="20">T26</f>
        <v>0</v>
      </c>
      <c r="N62" s="2">
        <f t="shared" ref="N62:N63" si="21">V26+S26</f>
        <v>0</v>
      </c>
      <c r="O62" s="2">
        <f t="shared" ref="O62:O63" si="22">X26</f>
        <v>0</v>
      </c>
      <c r="P62" s="2">
        <f t="shared" ref="P62:P63" si="23">W26</f>
        <v>0</v>
      </c>
      <c r="Q62" s="2">
        <f t="shared" ref="Q62:Q63" si="24">SUM(E62:P62)</f>
        <v>100</v>
      </c>
      <c r="Y62" s="19"/>
      <c r="Z62" s="19"/>
    </row>
    <row r="63" spans="1:26" x14ac:dyDescent="0.2">
      <c r="A63" s="5" t="str">
        <f>A27</f>
        <v>Poland</v>
      </c>
      <c r="B63" s="5"/>
      <c r="C63" s="5" t="str">
        <f>C27</f>
        <v>Poland</v>
      </c>
      <c r="D63" s="5">
        <f>D27</f>
        <v>2020</v>
      </c>
      <c r="E63" s="2">
        <f>SUM(E27:J27)</f>
        <v>40</v>
      </c>
      <c r="F63" s="2">
        <f t="shared" si="14"/>
        <v>10</v>
      </c>
      <c r="G63" s="2">
        <f t="shared" si="15"/>
        <v>15</v>
      </c>
      <c r="H63" s="2">
        <f>M27+N27+O27</f>
        <v>10</v>
      </c>
      <c r="I63" s="2">
        <f t="shared" si="16"/>
        <v>0</v>
      </c>
      <c r="J63" s="2">
        <f t="shared" si="17"/>
        <v>0</v>
      </c>
      <c r="K63" s="2">
        <f t="shared" si="18"/>
        <v>0</v>
      </c>
      <c r="L63" s="2">
        <f t="shared" si="19"/>
        <v>0</v>
      </c>
      <c r="M63" s="2">
        <f t="shared" si="20"/>
        <v>25</v>
      </c>
      <c r="N63" s="2">
        <f t="shared" si="21"/>
        <v>0</v>
      </c>
      <c r="O63" s="2">
        <f t="shared" si="22"/>
        <v>0</v>
      </c>
      <c r="P63" s="2">
        <f t="shared" si="23"/>
        <v>0</v>
      </c>
      <c r="Q63" s="2">
        <f t="shared" si="24"/>
        <v>100</v>
      </c>
      <c r="Y63" s="19"/>
      <c r="Z63" s="19"/>
    </row>
    <row r="64" spans="1:26" x14ac:dyDescent="0.2">
      <c r="A64" s="5" t="str">
        <f t="shared" ref="A64:D64" si="25">A28</f>
        <v>Republic of Korea</v>
      </c>
      <c r="B64" s="5" t="str">
        <f t="shared" si="25"/>
        <v>KTPI</v>
      </c>
      <c r="C64" s="5" t="str">
        <f t="shared" si="25"/>
        <v>Republic of Korea (KTPI)</v>
      </c>
      <c r="D64" s="5">
        <f t="shared" si="25"/>
        <v>2020</v>
      </c>
      <c r="E64" s="2">
        <f>SUM(E28:J28)</f>
        <v>50</v>
      </c>
      <c r="F64" s="2">
        <f t="shared" ref="F64:F65" si="26">K28</f>
        <v>0</v>
      </c>
      <c r="G64" s="2">
        <f t="shared" ref="G64:G65" si="27">L28</f>
        <v>0</v>
      </c>
      <c r="H64" s="2">
        <f>M28+N28+O28</f>
        <v>25</v>
      </c>
      <c r="I64" s="2">
        <f t="shared" ref="I64:I65" si="28">P28</f>
        <v>0</v>
      </c>
      <c r="J64" s="2">
        <f t="shared" ref="J64:J65" si="29">U28</f>
        <v>0</v>
      </c>
      <c r="K64" s="2">
        <f t="shared" ref="K64:K65" si="30">Q28</f>
        <v>0</v>
      </c>
      <c r="L64" s="2">
        <f t="shared" ref="L64:L65" si="31">R28</f>
        <v>0</v>
      </c>
      <c r="M64" s="2">
        <f t="shared" ref="M64:M65" si="32">T28</f>
        <v>25</v>
      </c>
      <c r="N64" s="2">
        <f t="shared" ref="N64:N65" si="33">V28+S28</f>
        <v>0</v>
      </c>
      <c r="O64" s="2">
        <f t="shared" ref="O64:O65" si="34">X28</f>
        <v>0</v>
      </c>
      <c r="P64" s="2">
        <f t="shared" ref="P64:P65" si="35">W28</f>
        <v>0</v>
      </c>
      <c r="Q64" s="2">
        <f t="shared" ref="Q64:Q65" si="36">SUM(E64:P64)</f>
        <v>100</v>
      </c>
      <c r="Y64" s="19"/>
      <c r="Z64" s="19"/>
    </row>
    <row r="65" spans="1:26" ht="24" x14ac:dyDescent="0.2">
      <c r="A65" s="5" t="str">
        <f t="shared" ref="A65:D67" si="37">A29</f>
        <v>Republic of South Africa</v>
      </c>
      <c r="B65" s="5" t="str">
        <f t="shared" si="37"/>
        <v>HIS</v>
      </c>
      <c r="C65" s="5" t="str">
        <f t="shared" si="37"/>
        <v>Republic of South Africa (HIS)</v>
      </c>
      <c r="D65" s="5">
        <f t="shared" si="37"/>
        <v>2020</v>
      </c>
      <c r="E65" s="2">
        <f>SUM(E29:J29)</f>
        <v>38</v>
      </c>
      <c r="F65" s="2">
        <f t="shared" si="26"/>
        <v>10</v>
      </c>
      <c r="G65" s="2">
        <f t="shared" si="27"/>
        <v>13</v>
      </c>
      <c r="H65" s="2">
        <f>M29+N29+O29</f>
        <v>16</v>
      </c>
      <c r="I65" s="2">
        <f t="shared" si="28"/>
        <v>0</v>
      </c>
      <c r="J65" s="2">
        <f t="shared" si="29"/>
        <v>0</v>
      </c>
      <c r="K65" s="2">
        <f t="shared" si="30"/>
        <v>0</v>
      </c>
      <c r="L65" s="2">
        <f t="shared" si="31"/>
        <v>6</v>
      </c>
      <c r="M65" s="2">
        <f t="shared" si="32"/>
        <v>9</v>
      </c>
      <c r="N65" s="2">
        <f t="shared" si="33"/>
        <v>8</v>
      </c>
      <c r="O65" s="2">
        <f t="shared" si="34"/>
        <v>0</v>
      </c>
      <c r="P65" s="2">
        <f t="shared" si="35"/>
        <v>0</v>
      </c>
      <c r="Q65" s="2">
        <f t="shared" si="36"/>
        <v>100</v>
      </c>
      <c r="Y65" s="19"/>
      <c r="Z65" s="19"/>
    </row>
    <row r="66" spans="1:26" x14ac:dyDescent="0.2">
      <c r="A66" s="5" t="str">
        <f t="shared" si="37"/>
        <v>Slovak Republic</v>
      </c>
      <c r="B66" s="5" t="str">
        <f t="shared" si="37"/>
        <v>SPI</v>
      </c>
      <c r="C66" s="5" t="str">
        <f t="shared" si="37"/>
        <v>Slovak Republic (SPI)</v>
      </c>
      <c r="D66" s="5" t="str">
        <f t="shared" si="37"/>
        <v>???</v>
      </c>
      <c r="E66" s="2">
        <f>SUM(E30:J30)</f>
        <v>100</v>
      </c>
      <c r="F66" s="2">
        <f t="shared" ref="F66" si="38">K30</f>
        <v>0</v>
      </c>
      <c r="G66" s="2">
        <f t="shared" ref="G66" si="39">L30</f>
        <v>0</v>
      </c>
      <c r="H66" s="2">
        <f>M30+N30+O30</f>
        <v>0</v>
      </c>
      <c r="I66" s="2">
        <f t="shared" ref="I66" si="40">P30</f>
        <v>0</v>
      </c>
      <c r="J66" s="2">
        <f t="shared" ref="J66" si="41">U30</f>
        <v>0</v>
      </c>
      <c r="K66" s="2">
        <f t="shared" ref="K66" si="42">Q30</f>
        <v>0</v>
      </c>
      <c r="L66" s="2">
        <f t="shared" ref="L66" si="43">R30</f>
        <v>0</v>
      </c>
      <c r="M66" s="2">
        <f t="shared" ref="M66" si="44">T30</f>
        <v>0</v>
      </c>
      <c r="N66" s="2">
        <f t="shared" ref="N66" si="45">V30+S30</f>
        <v>0</v>
      </c>
      <c r="O66" s="2">
        <f t="shared" ref="O66" si="46">X30</f>
        <v>0</v>
      </c>
      <c r="P66" s="2">
        <f t="shared" ref="P66" si="47">W30</f>
        <v>0</v>
      </c>
      <c r="Q66" s="2">
        <f t="shared" ref="Q66" si="48">SUM(E66:P66)</f>
        <v>100</v>
      </c>
      <c r="Y66" s="19"/>
      <c r="Z66" s="19"/>
    </row>
    <row r="67" spans="1:26" x14ac:dyDescent="0.2">
      <c r="A67" s="5" t="str">
        <f t="shared" si="37"/>
        <v>Uruguay</v>
      </c>
      <c r="B67" s="5" t="str">
        <f t="shared" si="37"/>
        <v>IEP</v>
      </c>
      <c r="C67" s="5" t="str">
        <f t="shared" si="37"/>
        <v>Uruguay (IEP)</v>
      </c>
      <c r="D67" s="5">
        <f t="shared" si="37"/>
        <v>2018</v>
      </c>
      <c r="E67" s="2">
        <f>SUM(E31:J31)</f>
        <v>65</v>
      </c>
      <c r="F67" s="2">
        <f t="shared" ref="F67" si="49">K31</f>
        <v>0</v>
      </c>
      <c r="G67" s="2">
        <f t="shared" ref="G67" si="50">L31</f>
        <v>7.4</v>
      </c>
      <c r="H67" s="2">
        <f>M31+N31+O31</f>
        <v>27.6</v>
      </c>
      <c r="I67" s="2">
        <f t="shared" ref="I67" si="51">P31</f>
        <v>0</v>
      </c>
      <c r="J67" s="2">
        <f t="shared" ref="J67" si="52">U31</f>
        <v>0</v>
      </c>
      <c r="K67" s="2">
        <f t="shared" ref="K67" si="53">Q31</f>
        <v>0</v>
      </c>
      <c r="L67" s="2">
        <f t="shared" ref="L67" si="54">R31</f>
        <v>0</v>
      </c>
      <c r="M67" s="2">
        <f t="shared" ref="M67" si="55">T31</f>
        <v>0</v>
      </c>
      <c r="N67" s="2">
        <f t="shared" ref="N67" si="56">V31+S31</f>
        <v>0</v>
      </c>
      <c r="O67" s="2">
        <f t="shared" ref="O67" si="57">X31</f>
        <v>0</v>
      </c>
      <c r="P67" s="2">
        <f t="shared" ref="P67" si="58">W31</f>
        <v>0</v>
      </c>
      <c r="Q67" s="2">
        <f t="shared" ref="Q67" si="59">SUM(E67:P67)</f>
        <v>100</v>
      </c>
      <c r="Y67" s="19"/>
      <c r="Z67" s="19"/>
    </row>
    <row r="68" spans="1:26" x14ac:dyDescent="0.2">
      <c r="A68" s="5" t="str">
        <f t="shared" ref="A68:D68" si="60">A32</f>
        <v>Austria</v>
      </c>
      <c r="B68" s="5"/>
      <c r="C68" s="5" t="str">
        <f t="shared" si="60"/>
        <v>Austria</v>
      </c>
      <c r="D68" s="5" t="str">
        <f t="shared" si="60"/>
        <v>???</v>
      </c>
      <c r="E68" s="2">
        <f>SUM(E32:J32)</f>
        <v>45</v>
      </c>
      <c r="F68" s="2">
        <f>K32</f>
        <v>0</v>
      </c>
      <c r="G68" s="2">
        <f>L32</f>
        <v>0</v>
      </c>
      <c r="H68" s="2">
        <f>M32+N32+O32</f>
        <v>0</v>
      </c>
      <c r="I68" s="2">
        <f>P32</f>
        <v>0</v>
      </c>
      <c r="J68" s="2">
        <f>U32</f>
        <v>0</v>
      </c>
      <c r="K68" s="2">
        <f>Q32</f>
        <v>0</v>
      </c>
      <c r="L68" s="2">
        <f>R32</f>
        <v>0</v>
      </c>
      <c r="M68" s="2">
        <f>T32</f>
        <v>15</v>
      </c>
      <c r="N68" s="2">
        <f>V32+S32</f>
        <v>0</v>
      </c>
      <c r="O68" s="2">
        <f>X32</f>
        <v>0</v>
      </c>
      <c r="P68" s="2">
        <f>W32</f>
        <v>40</v>
      </c>
      <c r="Q68" s="2">
        <f t="shared" si="2"/>
        <v>100</v>
      </c>
      <c r="Y68" s="19"/>
      <c r="Z68" s="19"/>
    </row>
    <row r="69" spans="1:26" x14ac:dyDescent="0.2">
      <c r="A69" s="5" t="str">
        <f t="shared" ref="A69:D69" si="61">A33</f>
        <v>Australia</v>
      </c>
      <c r="B69" s="5" t="str">
        <f t="shared" si="61"/>
        <v>BPI</v>
      </c>
      <c r="C69" s="5" t="str">
        <f t="shared" si="61"/>
        <v>Australia (BPI)</v>
      </c>
      <c r="D69" s="5">
        <f t="shared" si="61"/>
        <v>2020</v>
      </c>
      <c r="E69" s="2">
        <f>SUM(E33:J33)</f>
        <v>44</v>
      </c>
      <c r="F69" s="2">
        <f>K33</f>
        <v>0</v>
      </c>
      <c r="G69" s="2">
        <f>L33</f>
        <v>0</v>
      </c>
      <c r="H69" s="2">
        <f>M33+N33+O33</f>
        <v>0</v>
      </c>
      <c r="I69" s="2">
        <f>P33</f>
        <v>0</v>
      </c>
      <c r="J69" s="2">
        <f>U33</f>
        <v>35</v>
      </c>
      <c r="K69" s="2">
        <f>Q33</f>
        <v>0</v>
      </c>
      <c r="L69" s="2">
        <f>R33</f>
        <v>0</v>
      </c>
      <c r="M69" s="2">
        <f>T33</f>
        <v>9</v>
      </c>
      <c r="N69" s="2">
        <f>V33+S33</f>
        <v>6</v>
      </c>
      <c r="O69" s="2">
        <f>X33</f>
        <v>6</v>
      </c>
      <c r="P69" s="2">
        <f>W33</f>
        <v>0</v>
      </c>
      <c r="Q69" s="2">
        <f t="shared" si="2"/>
        <v>100</v>
      </c>
      <c r="Y69" s="19"/>
      <c r="Z69" s="19"/>
    </row>
    <row r="70" spans="1:26" s="17" customFormat="1" ht="17" thickBot="1" x14ac:dyDescent="0.25">
      <c r="A70" s="30" t="str">
        <f t="shared" ref="A70:D70" si="62">A34</f>
        <v>Australia</v>
      </c>
      <c r="B70" s="30" t="str">
        <f t="shared" si="62"/>
        <v>HWI</v>
      </c>
      <c r="C70" s="30" t="str">
        <f t="shared" si="62"/>
        <v>Australia (HWI)</v>
      </c>
      <c r="D70" s="30">
        <f t="shared" si="62"/>
        <v>2020</v>
      </c>
      <c r="E70" s="15">
        <f t="shared" ref="E70" si="63">SUM(E34:J34)</f>
        <v>28</v>
      </c>
      <c r="F70" s="15">
        <f t="shared" ref="F70:G70" si="64">K34</f>
        <v>0</v>
      </c>
      <c r="G70" s="15">
        <f t="shared" si="64"/>
        <v>0</v>
      </c>
      <c r="H70" s="15">
        <f t="shared" ref="H70" si="65">M34+N34+O34</f>
        <v>0</v>
      </c>
      <c r="I70" s="15">
        <f t="shared" ref="I70" si="66">P34</f>
        <v>0</v>
      </c>
      <c r="J70" s="15">
        <f t="shared" ref="J70" si="67">U34</f>
        <v>47</v>
      </c>
      <c r="K70" s="15">
        <f t="shared" ref="K70:L70" si="68">Q34</f>
        <v>0</v>
      </c>
      <c r="L70" s="15">
        <f t="shared" si="68"/>
        <v>0</v>
      </c>
      <c r="M70" s="15">
        <f t="shared" ref="M70" si="69">T34</f>
        <v>9</v>
      </c>
      <c r="N70" s="15">
        <f t="shared" ref="N70" si="70">V34+S34</f>
        <v>10</v>
      </c>
      <c r="O70" s="15">
        <f>X34</f>
        <v>6</v>
      </c>
      <c r="P70" s="15">
        <f>W34</f>
        <v>0</v>
      </c>
      <c r="Q70" s="15">
        <f t="shared" si="2"/>
        <v>100</v>
      </c>
      <c r="Y70" s="20"/>
      <c r="Z70" s="20"/>
    </row>
    <row r="72" spans="1:26" x14ac:dyDescent="0.2">
      <c r="A72" s="23" t="s">
        <v>78</v>
      </c>
    </row>
    <row r="73" spans="1:26" x14ac:dyDescent="0.2">
      <c r="A73" t="s">
        <v>79</v>
      </c>
    </row>
  </sheetData>
  <mergeCells count="26">
    <mergeCell ref="Y4:Y5"/>
    <mergeCell ref="Z4:Z5"/>
    <mergeCell ref="R4:R5"/>
    <mergeCell ref="S4:S5"/>
    <mergeCell ref="T4:T5"/>
    <mergeCell ref="U4:U5"/>
    <mergeCell ref="V4:V5"/>
    <mergeCell ref="W4:W5"/>
    <mergeCell ref="Q4:Q5"/>
    <mergeCell ref="O4:O5"/>
    <mergeCell ref="F3:J3"/>
    <mergeCell ref="K3:P3"/>
    <mergeCell ref="Q3:X3"/>
    <mergeCell ref="G4:G5"/>
    <mergeCell ref="H4:H5"/>
    <mergeCell ref="I4:I5"/>
    <mergeCell ref="J4:J5"/>
    <mergeCell ref="M4:M5"/>
    <mergeCell ref="N4:N5"/>
    <mergeCell ref="P4:P5"/>
    <mergeCell ref="X4:X5"/>
    <mergeCell ref="A4:A5"/>
    <mergeCell ref="B4:B5"/>
    <mergeCell ref="D4:D5"/>
    <mergeCell ref="E4:E5"/>
    <mergeCell ref="F4:F5"/>
  </mergeCells>
  <conditionalFormatting sqref="F42:Q59 R42:T70 E69:Q70 W6:X33 U7:V33 E6:E33 F6:T34">
    <cfRule type="cellIs" dxfId="25" priority="28" operator="greaterThanOrEqual">
      <formula>0</formula>
    </cfRule>
  </conditionalFormatting>
  <conditionalFormatting sqref="X34">
    <cfRule type="cellIs" dxfId="24" priority="27" operator="greaterThanOrEqual">
      <formula>0</formula>
    </cfRule>
  </conditionalFormatting>
  <conditionalFormatting sqref="U6">
    <cfRule type="cellIs" dxfId="23" priority="26" operator="greaterThanOrEqual">
      <formula>0</formula>
    </cfRule>
  </conditionalFormatting>
  <conditionalFormatting sqref="U34:V34">
    <cfRule type="cellIs" dxfId="22" priority="25" operator="greaterThanOrEqual">
      <formula>0</formula>
    </cfRule>
  </conditionalFormatting>
  <conditionalFormatting sqref="V6">
    <cfRule type="cellIs" dxfId="21" priority="24" operator="greaterThanOrEqual">
      <formula>0</formula>
    </cfRule>
  </conditionalFormatting>
  <conditionalFormatting sqref="E34">
    <cfRule type="cellIs" dxfId="20" priority="23" operator="greaterThanOrEqual">
      <formula>0</formula>
    </cfRule>
  </conditionalFormatting>
  <conditionalFormatting sqref="W34">
    <cfRule type="cellIs" dxfId="19" priority="22" operator="greaterThanOrEqual">
      <formula>0</formula>
    </cfRule>
  </conditionalFormatting>
  <conditionalFormatting sqref="W42:X69 U43:V69 E42">
    <cfRule type="cellIs" dxfId="18" priority="21" operator="greaterThanOrEqual">
      <formula>0</formula>
    </cfRule>
  </conditionalFormatting>
  <conditionalFormatting sqref="X70">
    <cfRule type="cellIs" dxfId="17" priority="20" operator="greaterThanOrEqual">
      <formula>0</formula>
    </cfRule>
  </conditionalFormatting>
  <conditionalFormatting sqref="U42">
    <cfRule type="cellIs" dxfId="16" priority="19" operator="greaterThanOrEqual">
      <formula>0</formula>
    </cfRule>
  </conditionalFormatting>
  <conditionalFormatting sqref="U70:V70">
    <cfRule type="cellIs" dxfId="15" priority="18" operator="greaterThanOrEqual">
      <formula>0</formula>
    </cfRule>
  </conditionalFormatting>
  <conditionalFormatting sqref="V42">
    <cfRule type="cellIs" dxfId="14" priority="17" operator="greaterThanOrEqual">
      <formula>0</formula>
    </cfRule>
  </conditionalFormatting>
  <conditionalFormatting sqref="W70">
    <cfRule type="cellIs" dxfId="13" priority="15" operator="greaterThanOrEqual">
      <formula>0</formula>
    </cfRule>
  </conditionalFormatting>
  <conditionalFormatting sqref="E43:E59">
    <cfRule type="cellIs" dxfId="12" priority="14" operator="greaterThanOrEqual">
      <formula>0</formula>
    </cfRule>
  </conditionalFormatting>
  <conditionalFormatting sqref="F68:Q68">
    <cfRule type="cellIs" dxfId="11" priority="12" operator="greaterThanOrEqual">
      <formula>0</formula>
    </cfRule>
  </conditionalFormatting>
  <conditionalFormatting sqref="E68">
    <cfRule type="cellIs" dxfId="10" priority="11" operator="greaterThanOrEqual">
      <formula>0</formula>
    </cfRule>
  </conditionalFormatting>
  <conditionalFormatting sqref="F60:Q61">
    <cfRule type="cellIs" dxfId="9" priority="10" operator="greaterThanOrEqual">
      <formula>0</formula>
    </cfRule>
  </conditionalFormatting>
  <conditionalFormatting sqref="E60:E61">
    <cfRule type="cellIs" dxfId="8" priority="9" operator="greaterThanOrEqual">
      <formula>0</formula>
    </cfRule>
  </conditionalFormatting>
  <conditionalFormatting sqref="F62:Q63">
    <cfRule type="cellIs" dxfId="7" priority="8" operator="greaterThanOrEqual">
      <formula>0</formula>
    </cfRule>
  </conditionalFormatting>
  <conditionalFormatting sqref="E62:E63">
    <cfRule type="cellIs" dxfId="6" priority="7" operator="greaterThanOrEqual">
      <formula>0</formula>
    </cfRule>
  </conditionalFormatting>
  <conditionalFormatting sqref="F64:Q65">
    <cfRule type="cellIs" dxfId="5" priority="6" operator="greaterThanOrEqual">
      <formula>0</formula>
    </cfRule>
  </conditionalFormatting>
  <conditionalFormatting sqref="E64:E65">
    <cfRule type="cellIs" dxfId="4" priority="5" operator="greaterThanOrEqual">
      <formula>0</formula>
    </cfRule>
  </conditionalFormatting>
  <conditionalFormatting sqref="F66:Q66">
    <cfRule type="cellIs" dxfId="3" priority="4" operator="greaterThanOrEqual">
      <formula>0</formula>
    </cfRule>
  </conditionalFormatting>
  <conditionalFormatting sqref="E66">
    <cfRule type="cellIs" dxfId="2" priority="3" operator="greaterThanOrEqual">
      <formula>0</formula>
    </cfRule>
  </conditionalFormatting>
  <conditionalFormatting sqref="F67:Q67">
    <cfRule type="cellIs" dxfId="1" priority="2" operator="greaterThanOrEqual">
      <formula>0</formula>
    </cfRule>
  </conditionalFormatting>
  <conditionalFormatting sqref="E67">
    <cfRule type="cellIs" dxfId="0" priority="1" operator="greaterThanOrEqual">
      <formula>0</formula>
    </cfRule>
  </conditionalFormatting>
  <hyperlinks>
    <hyperlink ref="Z11" r:id="rId1" xr:uid="{2575CA25-525D-8D43-AB07-FF90F2C65DB8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D416-945C-7747-BED3-342768E60FED}">
  <dimension ref="A1"/>
  <sheetViews>
    <sheetView topLeftCell="A24" zoomScale="65" zoomScaleNormal="65" workbookViewId="0">
      <selection activeCell="L88" sqref="L88"/>
    </sheetView>
  </sheetViews>
  <sheetFormatPr baseColWidth="10" defaultColWidth="8.83203125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/>
  </sheetViews>
  <sheetFormatPr baseColWidth="10" defaultColWidth="8.83203125" defaultRowHeight="16" x14ac:dyDescent="0.2"/>
  <sheetData>
    <row r="1" spans="1:3" x14ac:dyDescent="0.2">
      <c r="A1" t="s">
        <v>59</v>
      </c>
    </row>
    <row r="2" spans="1:3" ht="409.5" x14ac:dyDescent="0.2">
      <c r="B2" t="s">
        <v>60</v>
      </c>
      <c r="C2" s="13" t="s">
        <v>62</v>
      </c>
    </row>
    <row r="3" spans="1:3" x14ac:dyDescent="0.2">
      <c r="B3" t="s">
        <v>61</v>
      </c>
      <c r="C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JBC 2021</vt:lpstr>
      <vt:lpstr>JDS 2021</vt:lpstr>
    </vt:vector>
  </TitlesOfParts>
  <Company>Animal Genomics and Improvement Laboratory, ARS, 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B. Cole</dc:creator>
  <cp:lastModifiedBy>John B. Cole</cp:lastModifiedBy>
  <dcterms:created xsi:type="dcterms:W3CDTF">2017-05-19T18:08:01Z</dcterms:created>
  <dcterms:modified xsi:type="dcterms:W3CDTF">2021-10-05T15:28:20Z</dcterms:modified>
</cp:coreProperties>
</file>